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8460" windowHeight="4770" activeTab="0"/>
  </bookViews>
  <sheets>
    <sheet name="キャッシュフロー表" sheetId="1" r:id="rId1"/>
  </sheets>
  <definedNames>
    <definedName name="_xlnm.Print_Area" localSheetId="0">'キャッシュフロー表'!$G$41:$AH$65</definedName>
  </definedNames>
  <calcPr fullCalcOnLoad="1" refMode="R1C1"/>
</workbook>
</file>

<file path=xl/sharedStrings.xml><?xml version="1.0" encoding="utf-8"?>
<sst xmlns="http://schemas.openxmlformats.org/spreadsheetml/2006/main" count="145" uniqueCount="110">
  <si>
    <t>◎イベントデータ</t>
  </si>
  <si>
    <t>年</t>
  </si>
  <si>
    <t>Ｈ１１</t>
  </si>
  <si>
    <t>Ｈ１２</t>
  </si>
  <si>
    <t>Ｈ１３</t>
  </si>
  <si>
    <t>Ｈ１４</t>
  </si>
  <si>
    <t>Ｈ１５</t>
  </si>
  <si>
    <t>Ｈ１６</t>
  </si>
  <si>
    <t>Ｈ１７</t>
  </si>
  <si>
    <t>Ｈ１８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</si>
  <si>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</si>
  <si>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</si>
  <si>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</si>
  <si>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</si>
  <si>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</si>
  <si>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</si>
  <si>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</si>
  <si>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</si>
  <si>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</si>
  <si>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t>Ｈ２８</t>
  </si>
  <si>
    <t>Ｈ２９</t>
  </si>
  <si>
    <t>Ｈ３０</t>
  </si>
  <si>
    <t>Ｈ３１</t>
  </si>
  <si>
    <t>Ｈ３２</t>
  </si>
  <si>
    <t>Ｈ３３</t>
  </si>
  <si>
    <t>イベント</t>
  </si>
  <si>
    <t>イベント</t>
  </si>
  <si>
    <t>イベント</t>
  </si>
  <si>
    <t>イベント</t>
  </si>
  <si>
    <t>◎家族データ</t>
  </si>
  <si>
    <t>年齢</t>
  </si>
  <si>
    <t>◎イベント予算</t>
  </si>
  <si>
    <t>一時的収入（万円）</t>
  </si>
  <si>
    <t>長女教育費（万円）</t>
  </si>
  <si>
    <t>長男教育費（万円）</t>
  </si>
  <si>
    <t>教育費合計（万円）</t>
  </si>
  <si>
    <t>一時的支出（万円）</t>
  </si>
  <si>
    <t>◎収入・支出</t>
  </si>
  <si>
    <t>金額</t>
  </si>
  <si>
    <t>◎変動率</t>
  </si>
  <si>
    <t>率（％）</t>
  </si>
  <si>
    <t>単位：万円</t>
  </si>
  <si>
    <t>年間収入</t>
  </si>
  <si>
    <t>年間生活費</t>
  </si>
  <si>
    <t>生活費・教育費等</t>
  </si>
  <si>
    <t>住宅ローン返済額(当初)</t>
  </si>
  <si>
    <t>預貯金利回り</t>
  </si>
  <si>
    <t>住宅ローン返済額(5年後)</t>
  </si>
  <si>
    <t>支払保険料(当初)</t>
  </si>
  <si>
    <t>金額</t>
  </si>
  <si>
    <t>貯蓄残高</t>
  </si>
  <si>
    <t>金額単位：万円</t>
  </si>
  <si>
    <t>項目／年</t>
  </si>
  <si>
    <t>Ｈ３４</t>
  </si>
  <si>
    <t>Ｈ３５</t>
  </si>
  <si>
    <t>Ｈ３６</t>
  </si>
  <si>
    <t>Ｈ３７</t>
  </si>
  <si>
    <t>Ｈ３８</t>
  </si>
  <si>
    <t>収</t>
  </si>
  <si>
    <t>年間所得</t>
  </si>
  <si>
    <t>入</t>
  </si>
  <si>
    <t>一時的な収入</t>
  </si>
  <si>
    <t>収入合計</t>
  </si>
  <si>
    <t>支</t>
  </si>
  <si>
    <t>生活費</t>
  </si>
  <si>
    <t>出</t>
  </si>
  <si>
    <t>住宅ローン</t>
  </si>
  <si>
    <t>教育費</t>
  </si>
  <si>
    <t>保険料</t>
  </si>
  <si>
    <t>一時的な支出</t>
  </si>
  <si>
    <t>支出合計</t>
  </si>
  <si>
    <t>収    支</t>
  </si>
  <si>
    <t>貯蓄残高</t>
  </si>
  <si>
    <t>割戻後貯蓄残高</t>
  </si>
  <si>
    <t>終価係数</t>
  </si>
  <si>
    <t>現価係数</t>
  </si>
  <si>
    <t>住宅ローン返済額(10年後)</t>
  </si>
  <si>
    <t>夫36歳時</t>
  </si>
  <si>
    <t>夫41歳時</t>
  </si>
  <si>
    <t>支払保険料(夫44歳時)</t>
  </si>
  <si>
    <t>支払保険料（夫54歳時)</t>
  </si>
  <si>
    <t>妻41歳時</t>
  </si>
  <si>
    <t>妻51歳時</t>
  </si>
  <si>
    <t>支払保険料（夫46歳時)</t>
  </si>
  <si>
    <t>夫の保険料（現状）</t>
  </si>
  <si>
    <t>妻の保険料（現状）</t>
  </si>
  <si>
    <t>支払保険料（夫55歳時)</t>
  </si>
  <si>
    <t>鈴木 一郎（年齢）</t>
  </si>
  <si>
    <t>鈴木 花代（年齢）</t>
  </si>
  <si>
    <t>鈴木 月代(年齢)</t>
  </si>
  <si>
    <t>鈴木 二郎(年齢)</t>
  </si>
  <si>
    <t>鈴木 花代（年齢）</t>
  </si>
  <si>
    <t>鈴木 月代（年齢）</t>
  </si>
  <si>
    <t>鈴木 二郎（年齢）</t>
  </si>
  <si>
    <t>鈴木 花代</t>
  </si>
  <si>
    <t>鈴木 二郎</t>
  </si>
  <si>
    <t>鈴木 一郎</t>
  </si>
  <si>
    <t>鈴木 月代</t>
  </si>
  <si>
    <t>定期保険更新</t>
  </si>
  <si>
    <t xml:space="preserve"> </t>
  </si>
  <si>
    <t>幼稚園入園</t>
  </si>
  <si>
    <t xml:space="preserve">小学校 入学  </t>
  </si>
  <si>
    <t>中学校入学</t>
  </si>
  <si>
    <t>高校入学</t>
  </si>
  <si>
    <t>大学入学</t>
  </si>
  <si>
    <t>就職</t>
  </si>
  <si>
    <t>結婚</t>
  </si>
  <si>
    <t>大学入学</t>
  </si>
  <si>
    <t>高校入学</t>
  </si>
  <si>
    <t>小学校入学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</si>
</sst>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歳&quot;"/>
    <numFmt numFmtId="177" formatCode="0.0%"/>
    <numFmt numFmtId="178" formatCode="0.000"/>
    <numFmt numFmtId="179" formatCode="0.0000"/>
    <numFmt numFmtId="180" formatCode="&quot;\&quot;#,##0.0;[Red]&quot;\&quot;\-#,##0.0"/>
    <numFmt numFmtId="181" formatCode="0.0000%"/>
    <numFmt numFmtId="182" formatCode="#,##0&quot;万円&quot;"/>
    <numFmt numFmtId="183" formatCode="\(#,##0\)"/>
    <numFmt numFmtId="184" formatCode="#,##0;&quot;▲&quot;#,##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i/>
      <sz val="10"/>
      <name val="ＭＳ 明朝"/>
      <family val="1"/>
    </font>
    <font>
      <i/>
      <sz val="9"/>
      <name val="ＭＳ 明朝"/>
      <family val="1"/>
    </font>
    <font>
      <i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b/>
      <sz val="14"/>
      <color indexed="14"/>
      <name val="ＭＳ Ｐゴシック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dotted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hair"/>
      <top style="hair"/>
      <bottom style="dotted"/>
    </border>
    <border>
      <left style="hair"/>
      <right style="dotted"/>
      <top style="hair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9" fillId="0" borderId="6" xfId="0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3" fillId="0" borderId="8" xfId="0" applyFont="1" applyBorder="1" applyAlignment="1">
      <alignment horizontal="centerContinuous" vertical="center"/>
    </xf>
    <xf numFmtId="0" fontId="13" fillId="0" borderId="9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3" fillId="2" borderId="12" xfId="0" applyFont="1" applyFill="1" applyBorder="1" applyAlignment="1">
      <alignment horizontal="centerContinuous" vertical="center"/>
    </xf>
    <xf numFmtId="0" fontId="13" fillId="2" borderId="13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13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/>
    </xf>
    <xf numFmtId="0" fontId="13" fillId="2" borderId="1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3" borderId="16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3" fontId="5" fillId="3" borderId="17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3" fontId="5" fillId="3" borderId="18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16" xfId="0" applyFill="1" applyBorder="1" applyAlignment="1">
      <alignment/>
    </xf>
    <xf numFmtId="0" fontId="6" fillId="0" borderId="0" xfId="0" applyFont="1" applyAlignment="1">
      <alignment horizontal="center"/>
    </xf>
    <xf numFmtId="182" fontId="0" fillId="3" borderId="16" xfId="0" applyNumberFormat="1" applyFill="1" applyBorder="1" applyAlignment="1">
      <alignment horizontal="center"/>
    </xf>
    <xf numFmtId="177" fontId="0" fillId="3" borderId="16" xfId="15" applyNumberForma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/>
    </xf>
    <xf numFmtId="0" fontId="11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15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13" fillId="0" borderId="1" xfId="0" applyFont="1" applyBorder="1" applyAlignment="1">
      <alignment horizontal="centerContinuous" vertical="center"/>
    </xf>
    <xf numFmtId="0" fontId="14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3" fillId="0" borderId="10" xfId="15" applyNumberFormat="1" applyFont="1" applyBorder="1" applyAlignment="1">
      <alignment vertical="center"/>
    </xf>
    <xf numFmtId="1" fontId="4" fillId="0" borderId="10" xfId="16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15" applyNumberFormat="1" applyFont="1" applyBorder="1" applyAlignment="1">
      <alignment vertical="center"/>
    </xf>
    <xf numFmtId="0" fontId="4" fillId="0" borderId="18" xfId="16" applyNumberFormat="1" applyFont="1" applyBorder="1" applyAlignment="1">
      <alignment vertical="center"/>
    </xf>
    <xf numFmtId="38" fontId="4" fillId="0" borderId="18" xfId="16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84" fontId="17" fillId="0" borderId="1" xfId="16" applyNumberFormat="1" applyFont="1" applyBorder="1" applyAlignment="1">
      <alignment vertical="center"/>
    </xf>
    <xf numFmtId="184" fontId="4" fillId="0" borderId="10" xfId="16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9" fontId="13" fillId="0" borderId="1" xfId="0" applyNumberFormat="1" applyFont="1" applyBorder="1" applyAlignment="1">
      <alignment vertical="center"/>
    </xf>
    <xf numFmtId="184" fontId="4" fillId="0" borderId="18" xfId="16" applyNumberFormat="1" applyFont="1" applyBorder="1" applyAlignment="1">
      <alignment vertical="center"/>
    </xf>
    <xf numFmtId="184" fontId="4" fillId="0" borderId="13" xfId="16" applyNumberFormat="1" applyFont="1" applyBorder="1" applyAlignment="1">
      <alignment vertical="center"/>
    </xf>
    <xf numFmtId="184" fontId="4" fillId="0" borderId="1" xfId="16" applyNumberFormat="1" applyFont="1" applyBorder="1" applyAlignment="1">
      <alignment vertical="center"/>
    </xf>
    <xf numFmtId="3" fontId="13" fillId="0" borderId="16" xfId="15" applyNumberFormat="1" applyFont="1" applyBorder="1" applyAlignment="1">
      <alignment vertical="center"/>
    </xf>
    <xf numFmtId="184" fontId="4" fillId="0" borderId="16" xfId="16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3" fontId="13" fillId="0" borderId="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7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179" fontId="5" fillId="0" borderId="24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7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179" fontId="5" fillId="0" borderId="26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179" fontId="5" fillId="0" borderId="28" xfId="0" applyNumberFormat="1" applyFont="1" applyBorder="1" applyAlignment="1">
      <alignment/>
    </xf>
    <xf numFmtId="179" fontId="5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15" applyNumberFormat="1" applyFont="1" applyBorder="1" applyAlignment="1">
      <alignment vertical="center"/>
    </xf>
    <xf numFmtId="0" fontId="18" fillId="0" borderId="14" xfId="0" applyFont="1" applyBorder="1" applyAlignment="1">
      <alignment horizontal="centerContinuous" vertical="center"/>
    </xf>
    <xf numFmtId="0" fontId="18" fillId="0" borderId="8" xfId="0" applyFont="1" applyBorder="1" applyAlignment="1">
      <alignment horizontal="centerContinuous" vertical="center"/>
    </xf>
    <xf numFmtId="177" fontId="4" fillId="0" borderId="10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114300</xdr:rowOff>
    </xdr:from>
    <xdr:to>
      <xdr:col>2</xdr:col>
      <xdr:colOff>647700</xdr:colOff>
      <xdr:row>8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4425" y="1143000"/>
          <a:ext cx="19050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入力項目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黄色の部分に入力してください</a:t>
          </a:r>
        </a:p>
      </xdr:txBody>
    </xdr:sp>
    <xdr:clientData/>
  </xdr:twoCellAnchor>
  <xdr:twoCellAnchor>
    <xdr:from>
      <xdr:col>7</xdr:col>
      <xdr:colOff>0</xdr:colOff>
      <xdr:row>40</xdr:row>
      <xdr:rowOff>76200</xdr:rowOff>
    </xdr:from>
    <xdr:to>
      <xdr:col>15</xdr:col>
      <xdr:colOff>142875</xdr:colOff>
      <xdr:row>42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24575" y="7772400"/>
          <a:ext cx="3495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ライフイベント表・キャッシュフロー表</a:t>
          </a:r>
        </a:p>
      </xdr:txBody>
    </xdr:sp>
    <xdr:clientData/>
  </xdr:twoCellAnchor>
  <xdr:twoCellAnchor>
    <xdr:from>
      <xdr:col>1</xdr:col>
      <xdr:colOff>847725</xdr:colOff>
      <xdr:row>9</xdr:row>
      <xdr:rowOff>0</xdr:rowOff>
    </xdr:from>
    <xdr:to>
      <xdr:col>1</xdr:col>
      <xdr:colOff>847725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" y="1962150"/>
          <a:ext cx="0" cy="723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3181350" y="1409700"/>
          <a:ext cx="1695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19050</xdr:rowOff>
    </xdr:from>
    <xdr:to>
      <xdr:col>4</xdr:col>
      <xdr:colOff>9525</xdr:colOff>
      <xdr:row>14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3829050" y="1428750"/>
          <a:ext cx="0" cy="1924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104775</xdr:rowOff>
    </xdr:from>
    <xdr:to>
      <xdr:col>5</xdr:col>
      <xdr:colOff>0</xdr:colOff>
      <xdr:row>14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829050" y="3343275"/>
          <a:ext cx="10477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M68"/>
  <sheetViews>
    <sheetView tabSelected="1" workbookViewId="0" topLeftCell="G65">
      <selection activeCell="R42" sqref="R42"/>
    </sheetView>
  </sheetViews>
  <sheetFormatPr defaultColWidth="9.00390625" defaultRowHeight="13.5"/>
  <cols>
    <col min="1" max="1" width="11.75390625" style="0" customWidth="1"/>
    <col min="2" max="2" width="19.375" style="0" customWidth="1"/>
    <col min="4" max="4" width="10.00390625" style="0" customWidth="1"/>
    <col min="5" max="5" width="13.875" style="0" customWidth="1"/>
    <col min="6" max="6" width="13.625" style="0" customWidth="1"/>
    <col min="7" max="7" width="2.75390625" style="0" customWidth="1"/>
    <col min="8" max="8" width="11.25390625" style="0" customWidth="1"/>
    <col min="9" max="9" width="4.75390625" style="0" customWidth="1"/>
    <col min="10" max="10" width="4.125" style="0" hidden="1" customWidth="1"/>
    <col min="11" max="11" width="3.375" style="0" hidden="1" customWidth="1"/>
    <col min="12" max="39" width="7.00390625" style="0" customWidth="1"/>
  </cols>
  <sheetData>
    <row r="4" spans="6:39" ht="13.5">
      <c r="F4" t="s">
        <v>0</v>
      </c>
      <c r="G4" s="3"/>
      <c r="H4" s="4" t="s">
        <v>1</v>
      </c>
      <c r="I4" s="5"/>
      <c r="J4" s="5"/>
      <c r="K4" s="5"/>
      <c r="L4" s="6">
        <v>1999</v>
      </c>
      <c r="M4" s="6">
        <v>2000</v>
      </c>
      <c r="N4" s="6">
        <v>2001</v>
      </c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6">
        <v>2007</v>
      </c>
      <c r="U4" s="6">
        <v>2008</v>
      </c>
      <c r="V4" s="6">
        <v>2009</v>
      </c>
      <c r="W4" s="6">
        <v>2010</v>
      </c>
      <c r="X4" s="6">
        <v>2011</v>
      </c>
      <c r="Y4" s="6">
        <v>2012</v>
      </c>
      <c r="Z4" s="6">
        <v>2013</v>
      </c>
      <c r="AA4" s="6">
        <v>2014</v>
      </c>
      <c r="AB4" s="6">
        <v>2015</v>
      </c>
      <c r="AC4" s="6">
        <v>2016</v>
      </c>
      <c r="AD4" s="6">
        <v>2017</v>
      </c>
      <c r="AE4" s="6">
        <v>2018</v>
      </c>
      <c r="AF4" s="6">
        <v>2019</v>
      </c>
      <c r="AG4" s="6">
        <v>2020</v>
      </c>
      <c r="AH4" s="6">
        <v>2021</v>
      </c>
      <c r="AI4" s="6">
        <v>2022</v>
      </c>
      <c r="AJ4" s="6">
        <v>2023</v>
      </c>
      <c r="AK4" s="6">
        <v>2024</v>
      </c>
      <c r="AL4" s="6">
        <v>2025</v>
      </c>
      <c r="AM4" s="6">
        <v>2026</v>
      </c>
    </row>
    <row r="5" spans="7:39" ht="13.5">
      <c r="G5" s="7"/>
      <c r="H5" s="8"/>
      <c r="I5" s="9"/>
      <c r="J5" s="9"/>
      <c r="K5" s="9"/>
      <c r="L5" s="10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10</v>
      </c>
      <c r="U5" s="10" t="s">
        <v>11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0" t="s">
        <v>21</v>
      </c>
      <c r="AF5" s="10" t="s">
        <v>22</v>
      </c>
      <c r="AG5" s="10" t="s">
        <v>23</v>
      </c>
      <c r="AH5" s="10" t="s">
        <v>24</v>
      </c>
      <c r="AI5" s="10" t="s">
        <v>53</v>
      </c>
      <c r="AJ5" s="10" t="s">
        <v>54</v>
      </c>
      <c r="AK5" s="10" t="s">
        <v>55</v>
      </c>
      <c r="AL5" s="10" t="s">
        <v>56</v>
      </c>
      <c r="AM5" s="10" t="s">
        <v>57</v>
      </c>
    </row>
    <row r="6" spans="7:39" ht="13.5">
      <c r="G6" s="11"/>
      <c r="H6" s="12" t="s">
        <v>87</v>
      </c>
      <c r="I6" s="13"/>
      <c r="J6" s="14"/>
      <c r="K6" s="14"/>
      <c r="L6" s="15">
        <f>IF($C$15="","",$C$15)</f>
        <v>33</v>
      </c>
      <c r="M6" s="15">
        <f>IF(L6="","",L6+1)</f>
        <v>34</v>
      </c>
      <c r="N6" s="15">
        <f>IF(M6="","",M6+1)</f>
        <v>35</v>
      </c>
      <c r="O6" s="15">
        <f aca="true" t="shared" si="0" ref="O6:AH6">IF(N6="","",N6+1)</f>
        <v>36</v>
      </c>
      <c r="P6" s="15">
        <f t="shared" si="0"/>
        <v>37</v>
      </c>
      <c r="Q6" s="15">
        <f t="shared" si="0"/>
        <v>38</v>
      </c>
      <c r="R6" s="15">
        <f t="shared" si="0"/>
        <v>39</v>
      </c>
      <c r="S6" s="15">
        <f t="shared" si="0"/>
        <v>40</v>
      </c>
      <c r="T6" s="15">
        <f t="shared" si="0"/>
        <v>41</v>
      </c>
      <c r="U6" s="15">
        <f t="shared" si="0"/>
        <v>42</v>
      </c>
      <c r="V6" s="15">
        <f t="shared" si="0"/>
        <v>43</v>
      </c>
      <c r="W6" s="15">
        <f t="shared" si="0"/>
        <v>44</v>
      </c>
      <c r="X6" s="15">
        <f t="shared" si="0"/>
        <v>45</v>
      </c>
      <c r="Y6" s="15">
        <f t="shared" si="0"/>
        <v>46</v>
      </c>
      <c r="Z6" s="15">
        <f t="shared" si="0"/>
        <v>47</v>
      </c>
      <c r="AA6" s="15">
        <f t="shared" si="0"/>
        <v>48</v>
      </c>
      <c r="AB6" s="15">
        <f t="shared" si="0"/>
        <v>49</v>
      </c>
      <c r="AC6" s="15">
        <f t="shared" si="0"/>
        <v>50</v>
      </c>
      <c r="AD6" s="15">
        <f t="shared" si="0"/>
        <v>51</v>
      </c>
      <c r="AE6" s="15">
        <f t="shared" si="0"/>
        <v>52</v>
      </c>
      <c r="AF6" s="15">
        <f t="shared" si="0"/>
        <v>53</v>
      </c>
      <c r="AG6" s="15">
        <f t="shared" si="0"/>
        <v>54</v>
      </c>
      <c r="AH6" s="15">
        <f t="shared" si="0"/>
        <v>55</v>
      </c>
      <c r="AI6" s="15">
        <f>IF(AH6="","",AH6+1)</f>
        <v>56</v>
      </c>
      <c r="AJ6" s="15">
        <f>IF(AI6="","",AI6+1)</f>
        <v>57</v>
      </c>
      <c r="AK6" s="15">
        <f>IF(AJ6="","",AJ6+1)</f>
        <v>58</v>
      </c>
      <c r="AL6" s="15">
        <f>IF(AK6="","",AK6+1)</f>
        <v>59</v>
      </c>
      <c r="AM6" s="15">
        <f>IF(AL6="","",AL6+1)</f>
        <v>60</v>
      </c>
    </row>
    <row r="7" spans="7:39" ht="30" customHeight="1">
      <c r="G7" s="16"/>
      <c r="H7" s="17" t="s">
        <v>25</v>
      </c>
      <c r="I7" s="18"/>
      <c r="J7" s="18"/>
      <c r="K7" s="1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 t="s">
        <v>98</v>
      </c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</row>
    <row r="8" spans="4:39" ht="13.5">
      <c r="D8" s="19"/>
      <c r="E8" s="19"/>
      <c r="G8" s="11"/>
      <c r="H8" s="20" t="s">
        <v>88</v>
      </c>
      <c r="I8" s="14"/>
      <c r="J8" s="14"/>
      <c r="K8" s="14"/>
      <c r="L8" s="15">
        <f>IF($C$16="","",$C$16)</f>
        <v>30</v>
      </c>
      <c r="M8" s="15">
        <f>IF(L8="","",L8+1)</f>
        <v>31</v>
      </c>
      <c r="N8" s="15">
        <f>IF(M8="","",M8+1)</f>
        <v>32</v>
      </c>
      <c r="O8" s="15">
        <f aca="true" t="shared" si="1" ref="O8:AH8">IF(N8="","",N8+1)</f>
        <v>33</v>
      </c>
      <c r="P8" s="15">
        <f t="shared" si="1"/>
        <v>34</v>
      </c>
      <c r="Q8" s="15">
        <f t="shared" si="1"/>
        <v>35</v>
      </c>
      <c r="R8" s="15">
        <f t="shared" si="1"/>
        <v>36</v>
      </c>
      <c r="S8" s="15">
        <f t="shared" si="1"/>
        <v>37</v>
      </c>
      <c r="T8" s="15">
        <f t="shared" si="1"/>
        <v>38</v>
      </c>
      <c r="U8" s="15">
        <f t="shared" si="1"/>
        <v>39</v>
      </c>
      <c r="V8" s="15">
        <f t="shared" si="1"/>
        <v>40</v>
      </c>
      <c r="W8" s="15">
        <f t="shared" si="1"/>
        <v>41</v>
      </c>
      <c r="X8" s="15">
        <f t="shared" si="1"/>
        <v>42</v>
      </c>
      <c r="Y8" s="15">
        <f t="shared" si="1"/>
        <v>43</v>
      </c>
      <c r="Z8" s="15">
        <f t="shared" si="1"/>
        <v>44</v>
      </c>
      <c r="AA8" s="15">
        <f t="shared" si="1"/>
        <v>45</v>
      </c>
      <c r="AB8" s="15">
        <f t="shared" si="1"/>
        <v>46</v>
      </c>
      <c r="AC8" s="15">
        <f t="shared" si="1"/>
        <v>47</v>
      </c>
      <c r="AD8" s="15">
        <f t="shared" si="1"/>
        <v>48</v>
      </c>
      <c r="AE8" s="15">
        <f t="shared" si="1"/>
        <v>49</v>
      </c>
      <c r="AF8" s="15">
        <f t="shared" si="1"/>
        <v>50</v>
      </c>
      <c r="AG8" s="15">
        <f t="shared" si="1"/>
        <v>51</v>
      </c>
      <c r="AH8" s="15">
        <f t="shared" si="1"/>
        <v>52</v>
      </c>
      <c r="AI8" s="15">
        <f>IF(AH8="","",AH8+1)</f>
        <v>53</v>
      </c>
      <c r="AJ8" s="15">
        <f>IF(AI8="","",AI8+1)</f>
        <v>54</v>
      </c>
      <c r="AK8" s="15">
        <f>IF(AJ8="","",AJ8+1)</f>
        <v>55</v>
      </c>
      <c r="AL8" s="15">
        <f>IF(AK8="","",AK8+1)</f>
        <v>56</v>
      </c>
      <c r="AM8" s="15">
        <f>IF(AL8="","",AL8+1)</f>
        <v>57</v>
      </c>
    </row>
    <row r="9" spans="7:39" ht="30" customHeight="1">
      <c r="G9" s="16"/>
      <c r="H9" s="17" t="s">
        <v>26</v>
      </c>
      <c r="I9" s="18"/>
      <c r="J9" s="18"/>
      <c r="K9" s="18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</row>
    <row r="10" spans="7:39" ht="13.5">
      <c r="G10" s="11"/>
      <c r="H10" s="20" t="s">
        <v>89</v>
      </c>
      <c r="I10" s="14"/>
      <c r="J10" s="14"/>
      <c r="K10" s="14"/>
      <c r="L10" s="15">
        <f>IF($C$17="","",$C$17)</f>
        <v>4</v>
      </c>
      <c r="M10" s="15">
        <f>IF(L10="","",L10+1)</f>
        <v>5</v>
      </c>
      <c r="N10" s="15">
        <f>IF(M10="","",M10+1)</f>
        <v>6</v>
      </c>
      <c r="O10" s="15">
        <f aca="true" t="shared" si="2" ref="O10:AH10">IF(N10="","",N10+1)</f>
        <v>7</v>
      </c>
      <c r="P10" s="15">
        <f t="shared" si="2"/>
        <v>8</v>
      </c>
      <c r="Q10" s="15">
        <f t="shared" si="2"/>
        <v>9</v>
      </c>
      <c r="R10" s="15">
        <f t="shared" si="2"/>
        <v>10</v>
      </c>
      <c r="S10" s="15">
        <f t="shared" si="2"/>
        <v>11</v>
      </c>
      <c r="T10" s="15">
        <f t="shared" si="2"/>
        <v>12</v>
      </c>
      <c r="U10" s="15">
        <f t="shared" si="2"/>
        <v>13</v>
      </c>
      <c r="V10" s="15">
        <f t="shared" si="2"/>
        <v>14</v>
      </c>
      <c r="W10" s="15">
        <f t="shared" si="2"/>
        <v>15</v>
      </c>
      <c r="X10" s="15">
        <f t="shared" si="2"/>
        <v>16</v>
      </c>
      <c r="Y10" s="15">
        <f t="shared" si="2"/>
        <v>17</v>
      </c>
      <c r="Z10" s="15">
        <f t="shared" si="2"/>
        <v>18</v>
      </c>
      <c r="AA10" s="15">
        <f t="shared" si="2"/>
        <v>19</v>
      </c>
      <c r="AB10" s="15">
        <f t="shared" si="2"/>
        <v>20</v>
      </c>
      <c r="AC10" s="15">
        <f t="shared" si="2"/>
        <v>21</v>
      </c>
      <c r="AD10" s="15">
        <f t="shared" si="2"/>
        <v>22</v>
      </c>
      <c r="AE10" s="15">
        <f t="shared" si="2"/>
        <v>23</v>
      </c>
      <c r="AF10" s="15">
        <f t="shared" si="2"/>
        <v>24</v>
      </c>
      <c r="AG10" s="15">
        <f t="shared" si="2"/>
        <v>25</v>
      </c>
      <c r="AH10" s="15">
        <f t="shared" si="2"/>
        <v>26</v>
      </c>
      <c r="AI10" s="15">
        <f>IF(AH10="","",AH10+1)</f>
        <v>27</v>
      </c>
      <c r="AJ10" s="15">
        <f>IF(AI10="","",AI10+1)</f>
        <v>28</v>
      </c>
      <c r="AK10" s="15">
        <f>IF(AJ10="","",AJ10+1)</f>
        <v>29</v>
      </c>
      <c r="AL10" s="15">
        <f>IF(AK10="","",AK10+1)</f>
        <v>30</v>
      </c>
      <c r="AM10" s="15">
        <f>IF(AL10="","",AL10+1)</f>
        <v>31</v>
      </c>
    </row>
    <row r="11" spans="7:39" ht="30" customHeight="1">
      <c r="G11" s="16"/>
      <c r="H11" s="17" t="s">
        <v>27</v>
      </c>
      <c r="I11" s="18"/>
      <c r="J11" s="18"/>
      <c r="K11" s="18"/>
      <c r="L11" s="109"/>
      <c r="M11" s="109" t="s">
        <v>100</v>
      </c>
      <c r="N11" s="109"/>
      <c r="O11" s="109" t="s">
        <v>101</v>
      </c>
      <c r="P11" s="109"/>
      <c r="Q11" s="109"/>
      <c r="R11" s="109"/>
      <c r="S11" s="109"/>
      <c r="T11" s="109"/>
      <c r="U11" s="109" t="s">
        <v>102</v>
      </c>
      <c r="V11" s="109"/>
      <c r="W11" s="109"/>
      <c r="X11" s="109" t="s">
        <v>103</v>
      </c>
      <c r="Y11" s="109"/>
      <c r="Z11" s="109"/>
      <c r="AA11" s="109" t="s">
        <v>104</v>
      </c>
      <c r="AB11" s="109"/>
      <c r="AC11" s="109"/>
      <c r="AD11" s="109"/>
      <c r="AE11" s="109" t="s">
        <v>105</v>
      </c>
      <c r="AF11" s="109"/>
      <c r="AG11" s="109"/>
      <c r="AH11" s="109" t="s">
        <v>106</v>
      </c>
      <c r="AI11" s="109"/>
      <c r="AJ11" s="109"/>
      <c r="AK11" s="109"/>
      <c r="AL11" s="109"/>
      <c r="AM11" s="109"/>
    </row>
    <row r="12" spans="7:39" ht="13.5">
      <c r="G12" s="21"/>
      <c r="H12" s="12" t="s">
        <v>90</v>
      </c>
      <c r="I12" s="13"/>
      <c r="J12" s="13"/>
      <c r="K12" s="14"/>
      <c r="L12" s="15">
        <f>IF($C$18="","",$C$18)</f>
        <v>1</v>
      </c>
      <c r="M12" s="15">
        <f>IF(L12="","",L12+1)</f>
        <v>2</v>
      </c>
      <c r="N12" s="15">
        <f>IF(M12="","",M12+1)</f>
        <v>3</v>
      </c>
      <c r="O12" s="15">
        <f aca="true" t="shared" si="3" ref="O12:AH12">IF(N12="","",N12+1)</f>
        <v>4</v>
      </c>
      <c r="P12" s="15">
        <f t="shared" si="3"/>
        <v>5</v>
      </c>
      <c r="Q12" s="15">
        <f t="shared" si="3"/>
        <v>6</v>
      </c>
      <c r="R12" s="15">
        <f t="shared" si="3"/>
        <v>7</v>
      </c>
      <c r="S12" s="15">
        <f t="shared" si="3"/>
        <v>8</v>
      </c>
      <c r="T12" s="15">
        <f t="shared" si="3"/>
        <v>9</v>
      </c>
      <c r="U12" s="15">
        <f t="shared" si="3"/>
        <v>10</v>
      </c>
      <c r="V12" s="15">
        <f t="shared" si="3"/>
        <v>11</v>
      </c>
      <c r="W12" s="15">
        <f t="shared" si="3"/>
        <v>12</v>
      </c>
      <c r="X12" s="15">
        <f t="shared" si="3"/>
        <v>13</v>
      </c>
      <c r="Y12" s="15">
        <f t="shared" si="3"/>
        <v>14</v>
      </c>
      <c r="Z12" s="15">
        <f t="shared" si="3"/>
        <v>15</v>
      </c>
      <c r="AA12" s="15">
        <f t="shared" si="3"/>
        <v>16</v>
      </c>
      <c r="AB12" s="15">
        <f t="shared" si="3"/>
        <v>17</v>
      </c>
      <c r="AC12" s="15">
        <f t="shared" si="3"/>
        <v>18</v>
      </c>
      <c r="AD12" s="15">
        <f t="shared" si="3"/>
        <v>19</v>
      </c>
      <c r="AE12" s="15">
        <f t="shared" si="3"/>
        <v>20</v>
      </c>
      <c r="AF12" s="15">
        <f t="shared" si="3"/>
        <v>21</v>
      </c>
      <c r="AG12" s="15">
        <f t="shared" si="3"/>
        <v>22</v>
      </c>
      <c r="AH12" s="15">
        <f t="shared" si="3"/>
        <v>23</v>
      </c>
      <c r="AI12" s="15">
        <f>IF(AH12="","",AH12+1)</f>
        <v>24</v>
      </c>
      <c r="AJ12" s="15">
        <f>IF(AI12="","",AI12+1)</f>
        <v>25</v>
      </c>
      <c r="AK12" s="15">
        <f>IF(AJ12="","",AJ12+1)</f>
        <v>26</v>
      </c>
      <c r="AL12" s="15">
        <f>IF(AK12="","",AK12+1)</f>
        <v>27</v>
      </c>
      <c r="AM12" s="15">
        <f>IF(AL12="","",AL12+1)</f>
        <v>28</v>
      </c>
    </row>
    <row r="13" spans="7:39" ht="30" customHeight="1">
      <c r="G13" s="16"/>
      <c r="H13" s="17" t="s">
        <v>28</v>
      </c>
      <c r="I13" s="18"/>
      <c r="J13" s="18"/>
      <c r="K13" s="22"/>
      <c r="L13" s="110"/>
      <c r="M13" s="110"/>
      <c r="N13" s="110"/>
      <c r="O13" s="110"/>
      <c r="P13" s="110" t="s">
        <v>100</v>
      </c>
      <c r="Q13" s="110"/>
      <c r="R13" s="110" t="s">
        <v>109</v>
      </c>
      <c r="S13" s="110"/>
      <c r="T13" s="110"/>
      <c r="U13" s="110"/>
      <c r="V13" s="110"/>
      <c r="W13" s="110"/>
      <c r="X13" s="109" t="s">
        <v>102</v>
      </c>
      <c r="Y13" s="110"/>
      <c r="Z13" s="110"/>
      <c r="AA13" s="109" t="s">
        <v>108</v>
      </c>
      <c r="AB13" s="110"/>
      <c r="AC13" s="110"/>
      <c r="AD13" s="109" t="s">
        <v>107</v>
      </c>
      <c r="AE13" s="110"/>
      <c r="AF13" s="110"/>
      <c r="AG13" s="110"/>
      <c r="AH13" s="110" t="s">
        <v>105</v>
      </c>
      <c r="AI13" s="110"/>
      <c r="AJ13" s="110"/>
      <c r="AK13" s="110"/>
      <c r="AL13" s="110"/>
      <c r="AM13" s="110"/>
    </row>
    <row r="14" spans="1:3" ht="13.5">
      <c r="A14" s="23" t="s">
        <v>29</v>
      </c>
      <c r="B14" s="24"/>
      <c r="C14" s="24" t="s">
        <v>30</v>
      </c>
    </row>
    <row r="15" spans="1:39" ht="13.5">
      <c r="A15" s="23"/>
      <c r="B15" s="25" t="s">
        <v>96</v>
      </c>
      <c r="C15" s="26">
        <v>33</v>
      </c>
      <c r="F15" s="23" t="s">
        <v>31</v>
      </c>
      <c r="G15" s="27"/>
      <c r="H15" s="105" t="s">
        <v>32</v>
      </c>
      <c r="I15" s="105"/>
      <c r="J15" s="28">
        <v>520</v>
      </c>
      <c r="K15" s="28"/>
      <c r="L15" s="29" t="s">
        <v>99</v>
      </c>
      <c r="M15" s="29" t="s">
        <v>99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3.5">
      <c r="A16" s="23"/>
      <c r="B16" s="25" t="s">
        <v>94</v>
      </c>
      <c r="C16" s="26">
        <v>30</v>
      </c>
      <c r="G16" s="30"/>
      <c r="H16" s="106" t="s">
        <v>33</v>
      </c>
      <c r="I16" s="106"/>
      <c r="J16" s="31"/>
      <c r="K16" s="31"/>
      <c r="L16" s="32"/>
      <c r="M16" s="32">
        <v>24</v>
      </c>
      <c r="N16" s="32">
        <v>25</v>
      </c>
      <c r="O16" s="32">
        <v>33</v>
      </c>
      <c r="P16" s="32">
        <v>60</v>
      </c>
      <c r="Q16" s="32">
        <v>61</v>
      </c>
      <c r="R16" s="32">
        <v>70</v>
      </c>
      <c r="S16" s="32">
        <v>71</v>
      </c>
      <c r="T16" s="32">
        <v>73</v>
      </c>
      <c r="U16" s="32">
        <v>88</v>
      </c>
      <c r="V16" s="32">
        <v>90</v>
      </c>
      <c r="W16" s="32">
        <v>92</v>
      </c>
      <c r="X16" s="32">
        <v>120</v>
      </c>
      <c r="Y16" s="32">
        <v>123</v>
      </c>
      <c r="Z16" s="32">
        <v>125</v>
      </c>
      <c r="AA16" s="32">
        <v>273</v>
      </c>
      <c r="AB16" s="32">
        <v>239</v>
      </c>
      <c r="AC16" s="32">
        <v>244</v>
      </c>
      <c r="AD16" s="32">
        <v>390</v>
      </c>
      <c r="AE16" s="32">
        <v>178</v>
      </c>
      <c r="AF16" s="32">
        <v>181</v>
      </c>
      <c r="AG16" s="32">
        <v>185</v>
      </c>
      <c r="AH16" s="32"/>
      <c r="AI16" s="32"/>
      <c r="AJ16" s="32"/>
      <c r="AK16" s="32"/>
      <c r="AL16" s="32"/>
      <c r="AM16" s="32"/>
    </row>
    <row r="17" spans="1:39" ht="13.5">
      <c r="A17" s="23"/>
      <c r="B17" s="25" t="s">
        <v>97</v>
      </c>
      <c r="C17" s="26">
        <v>4</v>
      </c>
      <c r="G17" s="16"/>
      <c r="H17" s="107" t="s">
        <v>34</v>
      </c>
      <c r="I17" s="107"/>
      <c r="J17" s="33"/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ht="13.5">
      <c r="A18" s="23"/>
      <c r="B18" s="25" t="s">
        <v>95</v>
      </c>
      <c r="C18" s="26">
        <v>1</v>
      </c>
      <c r="G18" s="7"/>
      <c r="H18" s="108" t="s">
        <v>35</v>
      </c>
      <c r="I18" s="108"/>
      <c r="J18" s="1"/>
      <c r="K18" s="1"/>
      <c r="L18" s="35">
        <f>SUM(L16:L17)</f>
        <v>0</v>
      </c>
      <c r="M18" s="35">
        <f aca="true" t="shared" si="4" ref="M18:AH18">SUM(M16:M17)</f>
        <v>24</v>
      </c>
      <c r="N18" s="35">
        <f t="shared" si="4"/>
        <v>25</v>
      </c>
      <c r="O18" s="35">
        <f t="shared" si="4"/>
        <v>33</v>
      </c>
      <c r="P18" s="35">
        <f t="shared" si="4"/>
        <v>60</v>
      </c>
      <c r="Q18" s="35">
        <f t="shared" si="4"/>
        <v>61</v>
      </c>
      <c r="R18" s="35">
        <f t="shared" si="4"/>
        <v>70</v>
      </c>
      <c r="S18" s="35">
        <f t="shared" si="4"/>
        <v>71</v>
      </c>
      <c r="T18" s="35">
        <f t="shared" si="4"/>
        <v>73</v>
      </c>
      <c r="U18" s="35">
        <f t="shared" si="4"/>
        <v>88</v>
      </c>
      <c r="V18" s="35">
        <f t="shared" si="4"/>
        <v>90</v>
      </c>
      <c r="W18" s="35">
        <f t="shared" si="4"/>
        <v>92</v>
      </c>
      <c r="X18" s="35">
        <f t="shared" si="4"/>
        <v>120</v>
      </c>
      <c r="Y18" s="35">
        <f t="shared" si="4"/>
        <v>123</v>
      </c>
      <c r="Z18" s="35">
        <f t="shared" si="4"/>
        <v>125</v>
      </c>
      <c r="AA18" s="35">
        <f t="shared" si="4"/>
        <v>273</v>
      </c>
      <c r="AB18" s="35">
        <f t="shared" si="4"/>
        <v>239</v>
      </c>
      <c r="AC18" s="35">
        <f t="shared" si="4"/>
        <v>244</v>
      </c>
      <c r="AD18" s="35">
        <f t="shared" si="4"/>
        <v>390</v>
      </c>
      <c r="AE18" s="35">
        <f t="shared" si="4"/>
        <v>178</v>
      </c>
      <c r="AF18" s="35">
        <f t="shared" si="4"/>
        <v>181</v>
      </c>
      <c r="AG18" s="35">
        <f t="shared" si="4"/>
        <v>185</v>
      </c>
      <c r="AH18" s="35">
        <f t="shared" si="4"/>
        <v>0</v>
      </c>
      <c r="AI18" s="35">
        <f>SUM(AI16:AI17)</f>
        <v>0</v>
      </c>
      <c r="AJ18" s="35">
        <f>SUM(AJ16:AJ17)</f>
        <v>0</v>
      </c>
      <c r="AK18" s="35">
        <f>SUM(AK16:AK17)</f>
        <v>0</v>
      </c>
      <c r="AL18" s="35">
        <f>SUM(AL16:AL17)</f>
        <v>0</v>
      </c>
      <c r="AM18" s="35">
        <f>SUM(AM16:AM17)</f>
        <v>0</v>
      </c>
    </row>
    <row r="19" spans="1:39" ht="13.5">
      <c r="A19" s="23"/>
      <c r="B19" s="36"/>
      <c r="G19" s="27"/>
      <c r="H19" s="105" t="s">
        <v>36</v>
      </c>
      <c r="I19" s="105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>
        <v>178</v>
      </c>
    </row>
    <row r="20" ht="13.5">
      <c r="A20" s="23"/>
    </row>
    <row r="21" spans="1:34" ht="13.5">
      <c r="A21" s="23" t="s">
        <v>37</v>
      </c>
      <c r="B21" s="37"/>
      <c r="C21" s="24" t="s">
        <v>38</v>
      </c>
      <c r="D21" s="23" t="s">
        <v>39</v>
      </c>
      <c r="E21" s="37"/>
      <c r="F21" s="24" t="s">
        <v>40</v>
      </c>
      <c r="H21" s="81" t="s">
        <v>74</v>
      </c>
      <c r="I21" s="84">
        <v>0.01</v>
      </c>
      <c r="J21" s="85"/>
      <c r="K21" s="85"/>
      <c r="L21" s="85"/>
      <c r="M21" s="86">
        <f>1*I21+1</f>
        <v>1.01</v>
      </c>
      <c r="N21" s="86">
        <f>M21*$I$21+M21</f>
        <v>1.0201</v>
      </c>
      <c r="O21" s="86">
        <f>N21*$I$21+N21</f>
        <v>1.030301</v>
      </c>
      <c r="P21" s="86">
        <f aca="true" t="shared" si="5" ref="P21:AH21">O21*$I$21+O21</f>
        <v>1.0406040099999998</v>
      </c>
      <c r="Q21" s="86">
        <f t="shared" si="5"/>
        <v>1.0510100500999997</v>
      </c>
      <c r="R21" s="86">
        <f t="shared" si="5"/>
        <v>1.0615201506009997</v>
      </c>
      <c r="S21" s="86">
        <f t="shared" si="5"/>
        <v>1.0721353521070096</v>
      </c>
      <c r="T21" s="86">
        <f t="shared" si="5"/>
        <v>1.0828567056280798</v>
      </c>
      <c r="U21" s="86">
        <f t="shared" si="5"/>
        <v>1.0936852726843607</v>
      </c>
      <c r="V21" s="86">
        <f t="shared" si="5"/>
        <v>1.1046221254112043</v>
      </c>
      <c r="W21" s="86">
        <f t="shared" si="5"/>
        <v>1.1156683466653163</v>
      </c>
      <c r="X21" s="86">
        <f t="shared" si="5"/>
        <v>1.1268250301319696</v>
      </c>
      <c r="Y21" s="86">
        <f t="shared" si="5"/>
        <v>1.1380932804332893</v>
      </c>
      <c r="Z21" s="86">
        <f t="shared" si="5"/>
        <v>1.1494742132376221</v>
      </c>
      <c r="AA21" s="86">
        <f t="shared" si="5"/>
        <v>1.1609689553699982</v>
      </c>
      <c r="AB21" s="86">
        <f t="shared" si="5"/>
        <v>1.1725786449236981</v>
      </c>
      <c r="AC21" s="86">
        <f t="shared" si="5"/>
        <v>1.1843044313729352</v>
      </c>
      <c r="AD21" s="86">
        <f t="shared" si="5"/>
        <v>1.1961474756866646</v>
      </c>
      <c r="AE21" s="86">
        <f t="shared" si="5"/>
        <v>1.2081089504435312</v>
      </c>
      <c r="AF21" s="86">
        <f t="shared" si="5"/>
        <v>1.2201900399479664</v>
      </c>
      <c r="AG21" s="86">
        <f t="shared" si="5"/>
        <v>1.2323919403474461</v>
      </c>
      <c r="AH21" s="87">
        <f t="shared" si="5"/>
        <v>1.2447158597509207</v>
      </c>
    </row>
    <row r="22" spans="1:34" ht="13.5">
      <c r="A22" s="38" t="s">
        <v>41</v>
      </c>
      <c r="B22" s="25" t="s">
        <v>42</v>
      </c>
      <c r="C22" s="39">
        <v>544</v>
      </c>
      <c r="E22" s="25" t="s">
        <v>42</v>
      </c>
      <c r="F22" s="40">
        <v>0.015</v>
      </c>
      <c r="H22" s="82"/>
      <c r="I22" s="88">
        <v>0.015</v>
      </c>
      <c r="J22" s="89"/>
      <c r="K22" s="89"/>
      <c r="L22" s="89"/>
      <c r="M22" s="90">
        <f>1*I22+1</f>
        <v>1.015</v>
      </c>
      <c r="N22" s="90">
        <f>M22*$I$22+M22</f>
        <v>1.030225</v>
      </c>
      <c r="O22" s="90">
        <f>N22*$I$22+N22</f>
        <v>1.045678375</v>
      </c>
      <c r="P22" s="90">
        <f aca="true" t="shared" si="6" ref="P22:AH22">O22*$I$22+O22</f>
        <v>1.061363550625</v>
      </c>
      <c r="Q22" s="90">
        <f t="shared" si="6"/>
        <v>1.0772840038843752</v>
      </c>
      <c r="R22" s="90">
        <f t="shared" si="6"/>
        <v>1.0934432639426408</v>
      </c>
      <c r="S22" s="90">
        <f t="shared" si="6"/>
        <v>1.1098449129017804</v>
      </c>
      <c r="T22" s="90">
        <f t="shared" si="6"/>
        <v>1.126492586595307</v>
      </c>
      <c r="U22" s="90">
        <f t="shared" si="6"/>
        <v>1.1433899753942367</v>
      </c>
      <c r="V22" s="90">
        <f t="shared" si="6"/>
        <v>1.1605408250251503</v>
      </c>
      <c r="W22" s="90">
        <f t="shared" si="6"/>
        <v>1.1779489374005276</v>
      </c>
      <c r="X22" s="90">
        <f t="shared" si="6"/>
        <v>1.1956181714615355</v>
      </c>
      <c r="Y22" s="90">
        <f t="shared" si="6"/>
        <v>1.2135524440334584</v>
      </c>
      <c r="Z22" s="90">
        <f t="shared" si="6"/>
        <v>1.2317557306939604</v>
      </c>
      <c r="AA22" s="90">
        <f t="shared" si="6"/>
        <v>1.2502320666543698</v>
      </c>
      <c r="AB22" s="90">
        <f t="shared" si="6"/>
        <v>1.2689855476541854</v>
      </c>
      <c r="AC22" s="90">
        <f t="shared" si="6"/>
        <v>1.2880203308689981</v>
      </c>
      <c r="AD22" s="90">
        <f t="shared" si="6"/>
        <v>1.3073406358320332</v>
      </c>
      <c r="AE22" s="90">
        <f t="shared" si="6"/>
        <v>1.3269507453695137</v>
      </c>
      <c r="AF22" s="90">
        <f t="shared" si="6"/>
        <v>1.3468550065500564</v>
      </c>
      <c r="AG22" s="90">
        <f t="shared" si="6"/>
        <v>1.3670578316483073</v>
      </c>
      <c r="AH22" s="91">
        <f t="shared" si="6"/>
        <v>1.387563699123032</v>
      </c>
    </row>
    <row r="23" spans="1:34" ht="13.5">
      <c r="A23" s="23"/>
      <c r="B23" s="25" t="s">
        <v>43</v>
      </c>
      <c r="C23" s="39">
        <v>350</v>
      </c>
      <c r="E23" s="41" t="s">
        <v>44</v>
      </c>
      <c r="F23" s="40">
        <v>0.02</v>
      </c>
      <c r="H23" s="82"/>
      <c r="I23" s="88">
        <v>0.02</v>
      </c>
      <c r="J23" s="89"/>
      <c r="K23" s="89"/>
      <c r="L23" s="89"/>
      <c r="M23" s="90">
        <f>1*I23+1</f>
        <v>1.02</v>
      </c>
      <c r="N23" s="90">
        <f>M23*$I$23+M23</f>
        <v>1.0404</v>
      </c>
      <c r="O23" s="90">
        <f>N23*$I$23+N23</f>
        <v>1.061208</v>
      </c>
      <c r="P23" s="90">
        <f aca="true" t="shared" si="7" ref="P23:AH23">O23*$I$23+O23</f>
        <v>1.08243216</v>
      </c>
      <c r="Q23" s="90">
        <f t="shared" si="7"/>
        <v>1.1040808032</v>
      </c>
      <c r="R23" s="90">
        <f t="shared" si="7"/>
        <v>1.126162419264</v>
      </c>
      <c r="S23" s="90">
        <f t="shared" si="7"/>
        <v>1.14868566764928</v>
      </c>
      <c r="T23" s="90">
        <f t="shared" si="7"/>
        <v>1.1716593810022657</v>
      </c>
      <c r="U23" s="90">
        <f t="shared" si="7"/>
        <v>1.195092568622311</v>
      </c>
      <c r="V23" s="90">
        <f t="shared" si="7"/>
        <v>1.2189944199947573</v>
      </c>
      <c r="W23" s="90">
        <f t="shared" si="7"/>
        <v>1.2433743083946525</v>
      </c>
      <c r="X23" s="90">
        <f t="shared" si="7"/>
        <v>1.2682417945625455</v>
      </c>
      <c r="Y23" s="90">
        <f t="shared" si="7"/>
        <v>1.2936066304537963</v>
      </c>
      <c r="Z23" s="90">
        <f t="shared" si="7"/>
        <v>1.3194787630628722</v>
      </c>
      <c r="AA23" s="90">
        <f t="shared" si="7"/>
        <v>1.3458683383241297</v>
      </c>
      <c r="AB23" s="90">
        <f t="shared" si="7"/>
        <v>1.3727857050906123</v>
      </c>
      <c r="AC23" s="90">
        <f t="shared" si="7"/>
        <v>1.4002414191924246</v>
      </c>
      <c r="AD23" s="90">
        <f t="shared" si="7"/>
        <v>1.4282462475762732</v>
      </c>
      <c r="AE23" s="90">
        <f t="shared" si="7"/>
        <v>1.4568111725277986</v>
      </c>
      <c r="AF23" s="90">
        <f t="shared" si="7"/>
        <v>1.4859473959783545</v>
      </c>
      <c r="AG23" s="90">
        <f t="shared" si="7"/>
        <v>1.5156663438979217</v>
      </c>
      <c r="AH23" s="91">
        <f t="shared" si="7"/>
        <v>1.5459796707758802</v>
      </c>
    </row>
    <row r="24" spans="1:34" ht="13.5">
      <c r="A24" s="23"/>
      <c r="B24" s="42" t="s">
        <v>45</v>
      </c>
      <c r="C24" s="39">
        <v>123</v>
      </c>
      <c r="D24" s="43"/>
      <c r="E24" s="41" t="s">
        <v>46</v>
      </c>
      <c r="F24" s="40">
        <v>0.01</v>
      </c>
      <c r="H24" s="82"/>
      <c r="I24" s="88">
        <v>0.025</v>
      </c>
      <c r="J24" s="89"/>
      <c r="K24" s="89"/>
      <c r="L24" s="89"/>
      <c r="M24" s="90">
        <f aca="true" t="shared" si="8" ref="M24:M29">1*I24+1</f>
        <v>1.025</v>
      </c>
      <c r="N24" s="90">
        <f>M24*$I$24+M24</f>
        <v>1.050625</v>
      </c>
      <c r="O24" s="90">
        <f>N24*$I$24+N24</f>
        <v>1.0768906249999999</v>
      </c>
      <c r="P24" s="90">
        <f aca="true" t="shared" si="9" ref="P24:AH24">O24*$I$24+O24</f>
        <v>1.103812890625</v>
      </c>
      <c r="Q24" s="90">
        <f t="shared" si="9"/>
        <v>1.131408212890625</v>
      </c>
      <c r="R24" s="90">
        <f t="shared" si="9"/>
        <v>1.1596934182128906</v>
      </c>
      <c r="S24" s="90">
        <f t="shared" si="9"/>
        <v>1.188685753668213</v>
      </c>
      <c r="T24" s="90">
        <f t="shared" si="9"/>
        <v>1.2184028975099184</v>
      </c>
      <c r="U24" s="90">
        <f t="shared" si="9"/>
        <v>1.2488629699476663</v>
      </c>
      <c r="V24" s="90">
        <f t="shared" si="9"/>
        <v>1.280084544196358</v>
      </c>
      <c r="W24" s="90">
        <f t="shared" si="9"/>
        <v>1.3120866578012669</v>
      </c>
      <c r="X24" s="90">
        <f t="shared" si="9"/>
        <v>1.3448888242462986</v>
      </c>
      <c r="Y24" s="90">
        <f t="shared" si="9"/>
        <v>1.378511044852456</v>
      </c>
      <c r="Z24" s="90">
        <f t="shared" si="9"/>
        <v>1.4129738209737674</v>
      </c>
      <c r="AA24" s="90">
        <f t="shared" si="9"/>
        <v>1.4482981664981116</v>
      </c>
      <c r="AB24" s="90">
        <f t="shared" si="9"/>
        <v>1.4845056206605645</v>
      </c>
      <c r="AC24" s="90">
        <f t="shared" si="9"/>
        <v>1.5216182611770785</v>
      </c>
      <c r="AD24" s="90">
        <f t="shared" si="9"/>
        <v>1.5596587177065055</v>
      </c>
      <c r="AE24" s="90">
        <f t="shared" si="9"/>
        <v>1.5986501856491682</v>
      </c>
      <c r="AF24" s="90">
        <f t="shared" si="9"/>
        <v>1.6386164402903973</v>
      </c>
      <c r="AG24" s="90">
        <f t="shared" si="9"/>
        <v>1.6795818512976572</v>
      </c>
      <c r="AH24" s="91">
        <f t="shared" si="9"/>
        <v>1.7215713975800986</v>
      </c>
    </row>
    <row r="25" spans="1:34" ht="13.5">
      <c r="A25" s="23"/>
      <c r="B25" s="42" t="s">
        <v>47</v>
      </c>
      <c r="C25" s="39">
        <v>150</v>
      </c>
      <c r="D25" t="s">
        <v>77</v>
      </c>
      <c r="H25" s="82"/>
      <c r="I25" s="88">
        <v>0.03</v>
      </c>
      <c r="J25" s="89"/>
      <c r="K25" s="89"/>
      <c r="L25" s="89"/>
      <c r="M25" s="90">
        <f t="shared" si="8"/>
        <v>1.03</v>
      </c>
      <c r="N25" s="90">
        <f>M25*$I$25+M25</f>
        <v>1.0609</v>
      </c>
      <c r="O25" s="90">
        <f>N25*$I$25+N25</f>
        <v>1.092727</v>
      </c>
      <c r="P25" s="90">
        <f aca="true" t="shared" si="10" ref="P25:AH25">O25*$I$25+O25</f>
        <v>1.12550881</v>
      </c>
      <c r="Q25" s="90">
        <f t="shared" si="10"/>
        <v>1.1592740742999998</v>
      </c>
      <c r="R25" s="90">
        <f t="shared" si="10"/>
        <v>1.194052296529</v>
      </c>
      <c r="S25" s="90">
        <f t="shared" si="10"/>
        <v>1.22987386542487</v>
      </c>
      <c r="T25" s="90">
        <f t="shared" si="10"/>
        <v>1.2667700813876162</v>
      </c>
      <c r="U25" s="90">
        <f t="shared" si="10"/>
        <v>1.3047731838292447</v>
      </c>
      <c r="V25" s="90">
        <f t="shared" si="10"/>
        <v>1.343916379344122</v>
      </c>
      <c r="W25" s="90">
        <f t="shared" si="10"/>
        <v>1.3842338707244457</v>
      </c>
      <c r="X25" s="90">
        <f t="shared" si="10"/>
        <v>1.425760886846179</v>
      </c>
      <c r="Y25" s="90">
        <f t="shared" si="10"/>
        <v>1.4685337134515644</v>
      </c>
      <c r="Z25" s="90">
        <f t="shared" si="10"/>
        <v>1.5125897248551112</v>
      </c>
      <c r="AA25" s="90">
        <f t="shared" si="10"/>
        <v>1.5579674166007647</v>
      </c>
      <c r="AB25" s="90">
        <f t="shared" si="10"/>
        <v>1.6047064390987875</v>
      </c>
      <c r="AC25" s="90">
        <f t="shared" si="10"/>
        <v>1.6528476322717511</v>
      </c>
      <c r="AD25" s="90">
        <f t="shared" si="10"/>
        <v>1.7024330612399037</v>
      </c>
      <c r="AE25" s="90">
        <f t="shared" si="10"/>
        <v>1.7535060530771007</v>
      </c>
      <c r="AF25" s="90">
        <f t="shared" si="10"/>
        <v>1.8061112346694137</v>
      </c>
      <c r="AG25" s="90">
        <f t="shared" si="10"/>
        <v>1.860294571709496</v>
      </c>
      <c r="AH25" s="91">
        <f t="shared" si="10"/>
        <v>1.916103408860781</v>
      </c>
    </row>
    <row r="26" spans="1:34" ht="13.5">
      <c r="A26" s="23"/>
      <c r="B26" s="42" t="s">
        <v>76</v>
      </c>
      <c r="C26" s="39">
        <v>158</v>
      </c>
      <c r="D26" t="s">
        <v>78</v>
      </c>
      <c r="H26" s="82"/>
      <c r="I26" s="88">
        <v>0.035</v>
      </c>
      <c r="J26" s="89"/>
      <c r="K26" s="89"/>
      <c r="L26" s="89"/>
      <c r="M26" s="90">
        <f t="shared" si="8"/>
        <v>1.035</v>
      </c>
      <c r="N26" s="90">
        <f>M26*$I$26+M26</f>
        <v>1.0712249999999999</v>
      </c>
      <c r="O26" s="90">
        <f>N26*$I$26+N26</f>
        <v>1.108717875</v>
      </c>
      <c r="P26" s="90">
        <f aca="true" t="shared" si="11" ref="P26:AH26">O26*$I$26+O26</f>
        <v>1.147523000625</v>
      </c>
      <c r="Q26" s="90">
        <f t="shared" si="11"/>
        <v>1.187686305646875</v>
      </c>
      <c r="R26" s="90">
        <f t="shared" si="11"/>
        <v>1.2292553263445156</v>
      </c>
      <c r="S26" s="90">
        <f t="shared" si="11"/>
        <v>1.2722792627665738</v>
      </c>
      <c r="T26" s="90">
        <f t="shared" si="11"/>
        <v>1.3168090369634038</v>
      </c>
      <c r="U26" s="90">
        <f t="shared" si="11"/>
        <v>1.362897353257123</v>
      </c>
      <c r="V26" s="90">
        <f t="shared" si="11"/>
        <v>1.4105987606211223</v>
      </c>
      <c r="W26" s="90">
        <f t="shared" si="11"/>
        <v>1.4599697172428616</v>
      </c>
      <c r="X26" s="90">
        <f t="shared" si="11"/>
        <v>1.5110686573463619</v>
      </c>
      <c r="Y26" s="90">
        <f t="shared" si="11"/>
        <v>1.5639560603534846</v>
      </c>
      <c r="Z26" s="90">
        <f t="shared" si="11"/>
        <v>1.6186945224658564</v>
      </c>
      <c r="AA26" s="90">
        <f t="shared" si="11"/>
        <v>1.6753488307521613</v>
      </c>
      <c r="AB26" s="90">
        <f t="shared" si="11"/>
        <v>1.733986039828487</v>
      </c>
      <c r="AC26" s="90">
        <f t="shared" si="11"/>
        <v>1.7946755512224841</v>
      </c>
      <c r="AD26" s="90">
        <f t="shared" si="11"/>
        <v>1.857489195515271</v>
      </c>
      <c r="AE26" s="90">
        <f t="shared" si="11"/>
        <v>1.9225013173583054</v>
      </c>
      <c r="AF26" s="90">
        <f t="shared" si="11"/>
        <v>1.989788863465846</v>
      </c>
      <c r="AG26" s="90">
        <f t="shared" si="11"/>
        <v>2.059431473687151</v>
      </c>
      <c r="AH26" s="91">
        <f t="shared" si="11"/>
        <v>2.131511575266201</v>
      </c>
    </row>
    <row r="27" spans="1:34" ht="13.5">
      <c r="A27" s="23"/>
      <c r="B27" s="25" t="s">
        <v>48</v>
      </c>
      <c r="C27" s="39">
        <v>33</v>
      </c>
      <c r="H27" s="82"/>
      <c r="I27" s="88">
        <v>0.04</v>
      </c>
      <c r="J27" s="89"/>
      <c r="K27" s="89"/>
      <c r="L27" s="89"/>
      <c r="M27" s="90">
        <f t="shared" si="8"/>
        <v>1.04</v>
      </c>
      <c r="N27" s="90">
        <f>M27*$I$27+M27</f>
        <v>1.0816000000000001</v>
      </c>
      <c r="O27" s="90">
        <f>N27*$I$27+N27</f>
        <v>1.124864</v>
      </c>
      <c r="P27" s="90">
        <f aca="true" t="shared" si="12" ref="P27:AH27">O27*$I$27+O27</f>
        <v>1.16985856</v>
      </c>
      <c r="Q27" s="90">
        <f t="shared" si="12"/>
        <v>1.2166529024</v>
      </c>
      <c r="R27" s="90">
        <f t="shared" si="12"/>
        <v>1.265319018496</v>
      </c>
      <c r="S27" s="90">
        <f t="shared" si="12"/>
        <v>1.3159317792358398</v>
      </c>
      <c r="T27" s="90">
        <f t="shared" si="12"/>
        <v>1.3685690504052734</v>
      </c>
      <c r="U27" s="90">
        <f t="shared" si="12"/>
        <v>1.4233118124214843</v>
      </c>
      <c r="V27" s="90">
        <f t="shared" si="12"/>
        <v>1.4802442849183437</v>
      </c>
      <c r="W27" s="90">
        <f t="shared" si="12"/>
        <v>1.5394540563150774</v>
      </c>
      <c r="X27" s="90">
        <f t="shared" si="12"/>
        <v>1.6010322185676804</v>
      </c>
      <c r="Y27" s="90">
        <f t="shared" si="12"/>
        <v>1.6650735073103877</v>
      </c>
      <c r="Z27" s="90">
        <f t="shared" si="12"/>
        <v>1.7316764476028033</v>
      </c>
      <c r="AA27" s="90">
        <f t="shared" si="12"/>
        <v>1.8009435055069154</v>
      </c>
      <c r="AB27" s="90">
        <f t="shared" si="12"/>
        <v>1.872981245727192</v>
      </c>
      <c r="AC27" s="90">
        <f t="shared" si="12"/>
        <v>1.9479004955562795</v>
      </c>
      <c r="AD27" s="90">
        <f t="shared" si="12"/>
        <v>2.025816515378531</v>
      </c>
      <c r="AE27" s="90">
        <f t="shared" si="12"/>
        <v>2.106849175993672</v>
      </c>
      <c r="AF27" s="90">
        <f t="shared" si="12"/>
        <v>2.191123143033419</v>
      </c>
      <c r="AG27" s="90">
        <f t="shared" si="12"/>
        <v>2.278768068754756</v>
      </c>
      <c r="AH27" s="91">
        <f t="shared" si="12"/>
        <v>2.369918791504946</v>
      </c>
    </row>
    <row r="28" spans="1:34" ht="13.5">
      <c r="A28" s="38"/>
      <c r="B28" s="25" t="s">
        <v>79</v>
      </c>
      <c r="C28" s="39">
        <v>35</v>
      </c>
      <c r="D28" t="s">
        <v>81</v>
      </c>
      <c r="H28" s="82"/>
      <c r="I28" s="88">
        <v>0.045</v>
      </c>
      <c r="J28" s="89"/>
      <c r="K28" s="89"/>
      <c r="L28" s="89"/>
      <c r="M28" s="90">
        <f t="shared" si="8"/>
        <v>1.045</v>
      </c>
      <c r="N28" s="90">
        <f>M28*$I$28+M28</f>
        <v>1.092025</v>
      </c>
      <c r="O28" s="90">
        <f>N28*$I$28+N28</f>
        <v>1.141166125</v>
      </c>
      <c r="P28" s="90">
        <f aca="true" t="shared" si="13" ref="P28:AH28">O28*$I$28+O28</f>
        <v>1.192518600625</v>
      </c>
      <c r="Q28" s="90">
        <f t="shared" si="13"/>
        <v>1.246181937653125</v>
      </c>
      <c r="R28" s="90">
        <f t="shared" si="13"/>
        <v>1.3022601248475154</v>
      </c>
      <c r="S28" s="90">
        <f t="shared" si="13"/>
        <v>1.3608618304656537</v>
      </c>
      <c r="T28" s="90">
        <f t="shared" si="13"/>
        <v>1.422100612836608</v>
      </c>
      <c r="U28" s="90">
        <f t="shared" si="13"/>
        <v>1.4860951404142555</v>
      </c>
      <c r="V28" s="90">
        <f t="shared" si="13"/>
        <v>1.552969421732897</v>
      </c>
      <c r="W28" s="90">
        <f t="shared" si="13"/>
        <v>1.6228530457108774</v>
      </c>
      <c r="X28" s="90">
        <f t="shared" si="13"/>
        <v>1.6958814327678668</v>
      </c>
      <c r="Y28" s="90">
        <f t="shared" si="13"/>
        <v>1.7721960972424209</v>
      </c>
      <c r="Z28" s="90">
        <f t="shared" si="13"/>
        <v>1.85194492161833</v>
      </c>
      <c r="AA28" s="90">
        <f t="shared" si="13"/>
        <v>1.9352824430911548</v>
      </c>
      <c r="AB28" s="90">
        <f t="shared" si="13"/>
        <v>2.022370153030257</v>
      </c>
      <c r="AC28" s="90">
        <f t="shared" si="13"/>
        <v>2.1133768099166184</v>
      </c>
      <c r="AD28" s="90">
        <f t="shared" si="13"/>
        <v>2.208478766362866</v>
      </c>
      <c r="AE28" s="90">
        <f t="shared" si="13"/>
        <v>2.307860310849195</v>
      </c>
      <c r="AF28" s="90">
        <f t="shared" si="13"/>
        <v>2.411714024837409</v>
      </c>
      <c r="AG28" s="90">
        <f t="shared" si="13"/>
        <v>2.5202411559550923</v>
      </c>
      <c r="AH28" s="91">
        <f t="shared" si="13"/>
        <v>2.6336520079730716</v>
      </c>
    </row>
    <row r="29" spans="2:34" ht="13.5">
      <c r="B29" s="25" t="s">
        <v>83</v>
      </c>
      <c r="C29" s="39">
        <v>50</v>
      </c>
      <c r="H29" s="83"/>
      <c r="I29" s="92">
        <v>0.05</v>
      </c>
      <c r="J29" s="93"/>
      <c r="K29" s="93"/>
      <c r="L29" s="93"/>
      <c r="M29" s="94">
        <f t="shared" si="8"/>
        <v>1.05</v>
      </c>
      <c r="N29" s="94">
        <f>M29*$I$29+M29</f>
        <v>1.1025</v>
      </c>
      <c r="O29" s="94">
        <f>N29*$I$29+N29</f>
        <v>1.1576250000000001</v>
      </c>
      <c r="P29" s="94">
        <f aca="true" t="shared" si="14" ref="P29:AH29">O29*$I$29+O29</f>
        <v>1.2155062500000002</v>
      </c>
      <c r="Q29" s="94">
        <f t="shared" si="14"/>
        <v>1.2762815625000004</v>
      </c>
      <c r="R29" s="94">
        <f t="shared" si="14"/>
        <v>1.3400956406250004</v>
      </c>
      <c r="S29" s="94">
        <f t="shared" si="14"/>
        <v>1.4071004226562505</v>
      </c>
      <c r="T29" s="94">
        <f t="shared" si="14"/>
        <v>1.477455443789063</v>
      </c>
      <c r="U29" s="94">
        <f t="shared" si="14"/>
        <v>1.5513282159785162</v>
      </c>
      <c r="V29" s="94">
        <f t="shared" si="14"/>
        <v>1.628894626777442</v>
      </c>
      <c r="W29" s="94">
        <f t="shared" si="14"/>
        <v>1.7103393581163142</v>
      </c>
      <c r="X29" s="94">
        <f t="shared" si="14"/>
        <v>1.7958563260221299</v>
      </c>
      <c r="Y29" s="94">
        <f t="shared" si="14"/>
        <v>1.8856491423232364</v>
      </c>
      <c r="Z29" s="94">
        <f t="shared" si="14"/>
        <v>1.9799315994393982</v>
      </c>
      <c r="AA29" s="94">
        <f t="shared" si="14"/>
        <v>2.0789281794113683</v>
      </c>
      <c r="AB29" s="94">
        <f t="shared" si="14"/>
        <v>2.182874588381937</v>
      </c>
      <c r="AC29" s="94">
        <f t="shared" si="14"/>
        <v>2.2920183178010336</v>
      </c>
      <c r="AD29" s="94">
        <f t="shared" si="14"/>
        <v>2.406619233691085</v>
      </c>
      <c r="AE29" s="94">
        <f t="shared" si="14"/>
        <v>2.5269501953756395</v>
      </c>
      <c r="AF29" s="94">
        <f t="shared" si="14"/>
        <v>2.6532977051444213</v>
      </c>
      <c r="AG29" s="94">
        <f t="shared" si="14"/>
        <v>2.7859625904016423</v>
      </c>
      <c r="AH29" s="95">
        <f t="shared" si="14"/>
        <v>2.925260719921724</v>
      </c>
    </row>
    <row r="30" spans="2:34" ht="13.5">
      <c r="B30" s="25" t="s">
        <v>80</v>
      </c>
      <c r="C30" s="39">
        <v>53</v>
      </c>
      <c r="D30" t="s">
        <v>82</v>
      </c>
      <c r="H30" s="2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2:34" ht="13.5">
      <c r="B31" s="25" t="s">
        <v>86</v>
      </c>
      <c r="C31" s="39">
        <v>53</v>
      </c>
      <c r="H31" s="81" t="s">
        <v>75</v>
      </c>
      <c r="I31" s="84">
        <v>0.01</v>
      </c>
      <c r="J31" s="85"/>
      <c r="K31" s="85"/>
      <c r="L31" s="85"/>
      <c r="M31" s="86">
        <f>PV(I31,1,-1)</f>
        <v>0.990099009900991</v>
      </c>
      <c r="N31" s="86">
        <f>PV($I$31,2,,-1)</f>
        <v>0.9802960494069208</v>
      </c>
      <c r="O31" s="86">
        <f>PV($I$31,3,,-1)</f>
        <v>0.9705901479276445</v>
      </c>
      <c r="P31" s="86">
        <f>PV($I$31,4,,-1)</f>
        <v>0.9609803444828162</v>
      </c>
      <c r="Q31" s="86">
        <f>PV($I$31,5,,-1)</f>
        <v>0.9514656876067489</v>
      </c>
      <c r="R31" s="86">
        <f>PV($I$31,6,,-1)</f>
        <v>0.9420452352542066</v>
      </c>
      <c r="S31" s="86">
        <f>PV($I$31,7,,-1)</f>
        <v>0.9327180547071355</v>
      </c>
      <c r="T31" s="86">
        <f>PV($I$31,8,,-1)</f>
        <v>0.9234832224823122</v>
      </c>
      <c r="U31" s="86">
        <f>PV($I$31,9,,-1)</f>
        <v>0.9143398242399129</v>
      </c>
      <c r="V31" s="86">
        <f>PV($I$31,10,,-1)</f>
        <v>0.9052869546929831</v>
      </c>
      <c r="W31" s="86">
        <f>PV($I$31,11,,-1)</f>
        <v>0.8963237175178053</v>
      </c>
      <c r="X31" s="86">
        <f>PV($I$31,12,,-1)</f>
        <v>0.8874492252651537</v>
      </c>
      <c r="Y31" s="86">
        <f>PV($I$31,13,,-1)</f>
        <v>0.8786625992724293</v>
      </c>
      <c r="Z31" s="86">
        <f>PV($I$31,14,,-1)</f>
        <v>0.8699629695766626</v>
      </c>
      <c r="AA31" s="86">
        <f>PV($I$31,15,,-1)</f>
        <v>0.8613494748283791</v>
      </c>
      <c r="AB31" s="86">
        <f>PV($I$31,16,,-1)</f>
        <v>0.8528212622063156</v>
      </c>
      <c r="AC31" s="86">
        <f>PV($I$31,17,,-1)</f>
        <v>0.8443774873329857</v>
      </c>
      <c r="AD31" s="86">
        <f>PV($I$31,18,,-1)</f>
        <v>0.836017314191075</v>
      </c>
      <c r="AE31" s="86">
        <f>PV($I$31,19,,-1)</f>
        <v>0.8277399150406685</v>
      </c>
      <c r="AF31" s="86">
        <f>PV($I$31,20,,-1)</f>
        <v>0.8195444703372954</v>
      </c>
      <c r="AG31" s="86">
        <f>PV($I$31,21,,-1)</f>
        <v>0.8114301686507877</v>
      </c>
      <c r="AH31" s="87">
        <f>PV($I$31,22,,-1)</f>
        <v>0.803396206584938</v>
      </c>
    </row>
    <row r="32" spans="8:34" ht="13.5">
      <c r="H32" s="82"/>
      <c r="I32" s="88">
        <v>0.015</v>
      </c>
      <c r="J32" s="89"/>
      <c r="K32" s="89"/>
      <c r="L32" s="89"/>
      <c r="M32" s="90">
        <f aca="true" t="shared" si="15" ref="M32:M39">PV(I32,1,-1)</f>
        <v>0.9852216748768411</v>
      </c>
      <c r="N32" s="90">
        <f>PV($I$32,2,,-1)</f>
        <v>0.9706617486471405</v>
      </c>
      <c r="O32" s="90">
        <f>PV($I$32,3,,-1)</f>
        <v>0.9563169937410252</v>
      </c>
      <c r="P32" s="90">
        <f>PV($I$32,4,,-1)</f>
        <v>0.9421842302867245</v>
      </c>
      <c r="Q32" s="90">
        <f>PV($I$32,5,,-1)</f>
        <v>0.92826032540564</v>
      </c>
      <c r="R32" s="90">
        <f>PV($I$32,6,,-1)</f>
        <v>0.914542192517872</v>
      </c>
      <c r="S32" s="90">
        <f>PV($I$32,7,,-1)</f>
        <v>0.9010267906580022</v>
      </c>
      <c r="T32" s="90">
        <f>PV($I$32,8,,-1)</f>
        <v>0.8877111238009875</v>
      </c>
      <c r="U32" s="90">
        <f>PV($I$32,9,,-1)</f>
        <v>0.8745922401980173</v>
      </c>
      <c r="V32" s="90">
        <f>PV($I$32,10,,-1)</f>
        <v>0.8616672317221846</v>
      </c>
      <c r="W32" s="90">
        <f>PV($I$32,11,,-1)</f>
        <v>0.8489332332238273</v>
      </c>
      <c r="X32" s="90">
        <f>PV($I$32,12,,-1)</f>
        <v>0.8363874218953966</v>
      </c>
      <c r="Y32" s="90">
        <f>PV($I$32,13,,-1)</f>
        <v>0.824027016645711</v>
      </c>
      <c r="Z32" s="90">
        <f>PV($I$32,14,,-1)</f>
        <v>0.8118492774834593</v>
      </c>
      <c r="AA32" s="90">
        <f>PV($I$32,15,,-1)</f>
        <v>0.7998515049098122</v>
      </c>
      <c r="AB32" s="90">
        <f>PV($I$32,16,,-1)</f>
        <v>0.7880310393200121</v>
      </c>
      <c r="AC32" s="90">
        <f>PV($I$32,17,,-1)</f>
        <v>0.7763852604138052</v>
      </c>
      <c r="AD32" s="90">
        <f>PV($I$32,18,,-1)</f>
        <v>0.7649115866145864</v>
      </c>
      <c r="AE32" s="90">
        <f>PV($I$32,19,,-1)</f>
        <v>0.7536074744971295</v>
      </c>
      <c r="AF32" s="90">
        <f>PV($I$32,20,,-1)</f>
        <v>0.7424704182237731</v>
      </c>
      <c r="AG32" s="90">
        <f>PV($I$32,21,,-1)</f>
        <v>0.7314979489889392</v>
      </c>
      <c r="AH32" s="91">
        <f>PV($I$32,22,,-1)</f>
        <v>0.7206876344718613</v>
      </c>
    </row>
    <row r="33" spans="2:34" ht="13.5">
      <c r="B33" s="37"/>
      <c r="C33" s="24" t="s">
        <v>49</v>
      </c>
      <c r="H33" s="82"/>
      <c r="I33" s="88">
        <v>0.02</v>
      </c>
      <c r="J33" s="89"/>
      <c r="K33" s="89"/>
      <c r="L33" s="89"/>
      <c r="M33" s="90">
        <f t="shared" si="15"/>
        <v>0.980392156862746</v>
      </c>
      <c r="N33" s="90">
        <f>PV($I$33,2,,-1)</f>
        <v>0.9611687812379854</v>
      </c>
      <c r="O33" s="90">
        <f>PV($I$33,3,,-1)</f>
        <v>0.9423223345470446</v>
      </c>
      <c r="P33" s="90">
        <f>PV($I$33,4,,-1)</f>
        <v>0.9238454260265142</v>
      </c>
      <c r="Q33" s="90">
        <f>PV($I$33,5,,-1)</f>
        <v>0.9057308098299159</v>
      </c>
      <c r="R33" s="90">
        <f>PV($I$33,6,,-1)</f>
        <v>0.887971382186192</v>
      </c>
      <c r="S33" s="90">
        <f>PV($I$33,7,,-1)</f>
        <v>0.8705601786139139</v>
      </c>
      <c r="T33" s="90">
        <f>PV($I$33,8,,-1)</f>
        <v>0.8534903711901116</v>
      </c>
      <c r="U33" s="90">
        <f>PV($I$33,9,,-1)</f>
        <v>0.8367552658726585</v>
      </c>
      <c r="V33" s="90">
        <f>PV($I$33,10,,-1)</f>
        <v>0.8203482998751553</v>
      </c>
      <c r="W33" s="90">
        <f>PV($I$33,11,,-1)</f>
        <v>0.8042630390932897</v>
      </c>
      <c r="X33" s="90">
        <f>PV($I$33,12,,-1)</f>
        <v>0.7884931755816564</v>
      </c>
      <c r="Y33" s="90">
        <f>PV($I$33,13,,-1)</f>
        <v>0.7730325250800554</v>
      </c>
      <c r="Z33" s="90">
        <f>PV($I$33,14,,-1)</f>
        <v>0.7578750245882895</v>
      </c>
      <c r="AA33" s="90">
        <f>PV($I$33,15,,-1)</f>
        <v>0.7430147299885193</v>
      </c>
      <c r="AB33" s="90">
        <f>PV($I$33,16,,-1)</f>
        <v>0.7284458137142344</v>
      </c>
      <c r="AC33" s="90">
        <f>PV($I$33,17,,-1)</f>
        <v>0.7141625624649357</v>
      </c>
      <c r="AD33" s="90">
        <f>PV($I$33,18,,-1)</f>
        <v>0.7001593749656233</v>
      </c>
      <c r="AE33" s="90">
        <f>PV($I$33,19,,-1)</f>
        <v>0.686430759770219</v>
      </c>
      <c r="AF33" s="90">
        <f>PV($I$33,20,,-1)</f>
        <v>0.6729713331080578</v>
      </c>
      <c r="AG33" s="90">
        <f>PV($I$33,21,,-1)</f>
        <v>0.6597758167726057</v>
      </c>
      <c r="AH33" s="91">
        <f>PV($I$33,22,,-1)</f>
        <v>0.6468390360515741</v>
      </c>
    </row>
    <row r="34" spans="2:34" ht="13.5">
      <c r="B34" s="25" t="s">
        <v>50</v>
      </c>
      <c r="C34" s="39">
        <v>200</v>
      </c>
      <c r="H34" s="82"/>
      <c r="I34" s="88">
        <v>0.025</v>
      </c>
      <c r="J34" s="89"/>
      <c r="K34" s="89"/>
      <c r="L34" s="89"/>
      <c r="M34" s="90">
        <f t="shared" si="15"/>
        <v>0.9756097560975576</v>
      </c>
      <c r="N34" s="90">
        <f>PV($I$34,2,,-1)</f>
        <v>0.9518143961927424</v>
      </c>
      <c r="O34" s="90">
        <f>PV($I$34,3,,-1)</f>
        <v>0.9285994109197488</v>
      </c>
      <c r="P34" s="90">
        <f>PV($I$34,4,,-1)</f>
        <v>0.9059506447997551</v>
      </c>
      <c r="Q34" s="90">
        <f>PV($I$34,5,,-1)</f>
        <v>0.8838542876095171</v>
      </c>
      <c r="R34" s="90">
        <f>PV($I$34,6,,-1)</f>
        <v>0.8622968659605046</v>
      </c>
      <c r="S34" s="90">
        <f>PV($I$34,7,,-1)</f>
        <v>0.8412652350834191</v>
      </c>
      <c r="T34" s="90">
        <f>PV($I$34,8,,-1)</f>
        <v>0.8207465708130919</v>
      </c>
      <c r="U34" s="90">
        <f>PV($I$34,9,,-1)</f>
        <v>0.8007283617688703</v>
      </c>
      <c r="V34" s="90">
        <f>PV($I$34,10,,-1)</f>
        <v>0.7811984017257271</v>
      </c>
      <c r="W34" s="90">
        <f>PV($I$34,11,,-1)</f>
        <v>0.7621447821714411</v>
      </c>
      <c r="X34" s="90">
        <f>PV($I$34,12,,-1)</f>
        <v>0.7435558850453085</v>
      </c>
      <c r="Y34" s="90">
        <f>PV($I$34,13,,-1)</f>
        <v>0.7254203756539594</v>
      </c>
      <c r="Z34" s="90">
        <f>PV($I$34,14,,-1)</f>
        <v>0.7077271957599606</v>
      </c>
      <c r="AA34" s="90">
        <f>PV($I$34,15,,-1)</f>
        <v>0.6904655568389858</v>
      </c>
      <c r="AB34" s="90">
        <f>PV($I$34,16,,-1)</f>
        <v>0.6736249335014496</v>
      </c>
      <c r="AC34" s="90">
        <f>PV($I$34,17,,-1)</f>
        <v>0.657195057074585</v>
      </c>
      <c r="AD34" s="90">
        <f>PV($I$34,18,,-1)</f>
        <v>0.6411659093410585</v>
      </c>
      <c r="AE34" s="90">
        <f>PV($I$34,19,,-1)</f>
        <v>0.625527716430301</v>
      </c>
      <c r="AF34" s="90">
        <f>PV($I$34,20,,-1)</f>
        <v>0.6102709428588303</v>
      </c>
      <c r="AG34" s="90">
        <f>PV($I$34,21,,-1)</f>
        <v>0.5953862857159321</v>
      </c>
      <c r="AH34" s="91">
        <f>PV($I$34,22,,-1)</f>
        <v>0.5808646689911533</v>
      </c>
    </row>
    <row r="35" spans="8:34" ht="13.5">
      <c r="H35" s="82"/>
      <c r="I35" s="88">
        <v>0.03</v>
      </c>
      <c r="J35" s="89"/>
      <c r="K35" s="89"/>
      <c r="L35" s="89"/>
      <c r="M35" s="90">
        <f t="shared" si="15"/>
        <v>0.9708737864077678</v>
      </c>
      <c r="N35" s="90">
        <f>PV($I$35,2,,-1)</f>
        <v>0.9425959091337544</v>
      </c>
      <c r="O35" s="90">
        <f>PV($I$35,3,,-1)</f>
        <v>0.9151416593531596</v>
      </c>
      <c r="P35" s="90">
        <f>PV($I$35,4,,-1)</f>
        <v>0.888487047915689</v>
      </c>
      <c r="Q35" s="90">
        <f>PV($I$35,5,,-1)</f>
        <v>0.8626087843841641</v>
      </c>
      <c r="R35" s="90">
        <f>PV($I$35,6,,-1)</f>
        <v>0.8374842566836544</v>
      </c>
      <c r="S35" s="90">
        <f>PV($I$35,7,,-1)</f>
        <v>0.8130915113433538</v>
      </c>
      <c r="T35" s="90">
        <f>PV($I$35,8,,-1)</f>
        <v>0.7894092343139357</v>
      </c>
      <c r="U35" s="90">
        <f>PV($I$35,9,,-1)</f>
        <v>0.766416732343627</v>
      </c>
      <c r="V35" s="90">
        <f>PV($I$35,10,,-1)</f>
        <v>0.7440939148967252</v>
      </c>
      <c r="W35" s="90">
        <f>PV($I$35,11,,-1)</f>
        <v>0.7224212765987623</v>
      </c>
      <c r="X35" s="90">
        <f>PV($I$35,12,,-1)</f>
        <v>0.7013798801929733</v>
      </c>
      <c r="Y35" s="90">
        <f>PV($I$35,13,,-1)</f>
        <v>0.6809513399931779</v>
      </c>
      <c r="Z35" s="90">
        <f>PV($I$35,14,,-1)</f>
        <v>0.6611178058186192</v>
      </c>
      <c r="AA35" s="90">
        <f>PV($I$35,15,,-1)</f>
        <v>0.6418619473967176</v>
      </c>
      <c r="AB35" s="90">
        <f>PV($I$35,16,,-1)</f>
        <v>0.6231669392201143</v>
      </c>
      <c r="AC35" s="90">
        <f>PV($I$35,17,,-1)</f>
        <v>0.6050164458447712</v>
      </c>
      <c r="AD35" s="90">
        <f>PV($I$35,18,,-1)</f>
        <v>0.5873946076162827</v>
      </c>
      <c r="AE35" s="90">
        <f>PV($I$35,19,,-1)</f>
        <v>0.570286026811925</v>
      </c>
      <c r="AF35" s="90">
        <f>PV($I$35,20,,-1)</f>
        <v>0.553675754186335</v>
      </c>
      <c r="AG35" s="90">
        <f>PV($I$35,21,,-1)</f>
        <v>0.5375492759090631</v>
      </c>
      <c r="AH35" s="91">
        <f>PV($I$35,22,,-1)</f>
        <v>0.5218925008825855</v>
      </c>
    </row>
    <row r="36" spans="8:34" ht="13.5">
      <c r="H36" s="82"/>
      <c r="I36" s="88">
        <v>0.035</v>
      </c>
      <c r="J36" s="89"/>
      <c r="K36" s="89"/>
      <c r="L36" s="89"/>
      <c r="M36" s="90">
        <f t="shared" si="15"/>
        <v>0.9661835748792249</v>
      </c>
      <c r="N36" s="90">
        <f>PV($I$36,2,,-1)</f>
        <v>0.933510700366403</v>
      </c>
      <c r="O36" s="90">
        <f>PV($I$36,3,,-1)</f>
        <v>0.9019427056680224</v>
      </c>
      <c r="P36" s="90">
        <f>PV($I$36,4,,-1)</f>
        <v>0.8714422276985724</v>
      </c>
      <c r="Q36" s="90">
        <f>PV($I$36,5,,-1)</f>
        <v>0.8419731668585242</v>
      </c>
      <c r="R36" s="90">
        <f>PV($I$36,6,,-1)</f>
        <v>0.8135006443077528</v>
      </c>
      <c r="S36" s="90">
        <f>PV($I$36,7,,-1)</f>
        <v>0.7859909606838191</v>
      </c>
      <c r="T36" s="90">
        <f>PV($I$36,8,,-1)</f>
        <v>0.7594115562162506</v>
      </c>
      <c r="U36" s="90">
        <f>PV($I$36,9,,-1)</f>
        <v>0.7337309721896141</v>
      </c>
      <c r="V36" s="90">
        <f>PV($I$36,10,,-1)</f>
        <v>0.7089188137097722</v>
      </c>
      <c r="W36" s="90">
        <f>PV($I$36,11,,-1)</f>
        <v>0.6849457137292485</v>
      </c>
      <c r="X36" s="90">
        <f>PV($I$36,12,,-1)</f>
        <v>0.661783298289129</v>
      </c>
      <c r="Y36" s="90">
        <f>PV($I$36,13,,-1)</f>
        <v>0.6394041529363567</v>
      </c>
      <c r="Z36" s="90">
        <f>PV($I$36,14,,-1)</f>
        <v>0.617781790276673</v>
      </c>
      <c r="AA36" s="90">
        <f>PV($I$36,15,,-1)</f>
        <v>0.596890618624805</v>
      </c>
      <c r="AB36" s="90">
        <f>PV($I$36,16,,-1)</f>
        <v>0.5767059117147875</v>
      </c>
      <c r="AC36" s="90">
        <f>PV($I$36,17,,-1)</f>
        <v>0.5572037794345773</v>
      </c>
      <c r="AD36" s="90">
        <f>PV($I$36,18,,-1)</f>
        <v>0.5383611395503163</v>
      </c>
      <c r="AE36" s="90">
        <f>PV($I$36,19,,-1)</f>
        <v>0.5201556903867791</v>
      </c>
      <c r="AF36" s="90">
        <f>PV($I$36,20,,-1)</f>
        <v>0.5025658844316706</v>
      </c>
      <c r="AG36" s="90">
        <f>PV($I$36,21,,-1)</f>
        <v>0.4855709028325321</v>
      </c>
      <c r="AH36" s="91">
        <f>PV($I$36,22,,-1)</f>
        <v>0.46915063075606966</v>
      </c>
    </row>
    <row r="37" spans="8:34" ht="13.5">
      <c r="H37" s="82"/>
      <c r="I37" s="88">
        <v>0.04</v>
      </c>
      <c r="J37" s="89"/>
      <c r="K37" s="89"/>
      <c r="L37" s="89"/>
      <c r="M37" s="90">
        <f t="shared" si="15"/>
        <v>0.9615384615384623</v>
      </c>
      <c r="N37" s="90">
        <f>PV($I$37,2,,-1)</f>
        <v>0.9245562130177514</v>
      </c>
      <c r="O37" s="90">
        <f>PV($I$37,3,,-1)</f>
        <v>0.8889963586709149</v>
      </c>
      <c r="P37" s="90">
        <f>PV($I$37,4,,-1)</f>
        <v>0.8548041910297257</v>
      </c>
      <c r="Q37" s="90">
        <f>PV($I$37,5,,-1)</f>
        <v>0.8219271067593515</v>
      </c>
      <c r="R37" s="90">
        <f>PV($I$37,6,,-1)</f>
        <v>0.7903145257301457</v>
      </c>
      <c r="S37" s="90">
        <f>PV($I$37,7,,-1)</f>
        <v>0.7599178132020633</v>
      </c>
      <c r="T37" s="90">
        <f>PV($I$37,8,,-1)</f>
        <v>0.7306902050019838</v>
      </c>
      <c r="U37" s="90">
        <f>PV($I$37,9,,-1)</f>
        <v>0.7025867355788304</v>
      </c>
      <c r="V37" s="90">
        <f>PV($I$37,10,,-1)</f>
        <v>0.6755641688257985</v>
      </c>
      <c r="W37" s="90">
        <f>PV($I$37,11,,-1)</f>
        <v>0.6495809315632679</v>
      </c>
      <c r="X37" s="90">
        <f>PV($I$37,12,,-1)</f>
        <v>0.6245970495800651</v>
      </c>
      <c r="Y37" s="90">
        <f>PV($I$37,13,,-1)</f>
        <v>0.600574086134678</v>
      </c>
      <c r="Z37" s="90">
        <f>PV($I$37,14,,-1)</f>
        <v>0.5774750828218058</v>
      </c>
      <c r="AA37" s="90">
        <f>PV($I$37,15,,-1)</f>
        <v>0.5552645027132748</v>
      </c>
      <c r="AB37" s="90">
        <f>PV($I$37,16,,-1)</f>
        <v>0.533908175685841</v>
      </c>
      <c r="AC37" s="90">
        <f>PV($I$37,17,,-1)</f>
        <v>0.5133732458517702</v>
      </c>
      <c r="AD37" s="90">
        <f>PV($I$37,18,,-1)</f>
        <v>0.4936281210113175</v>
      </c>
      <c r="AE37" s="90">
        <f>PV($I$37,19,,-1)</f>
        <v>0.47464242404934376</v>
      </c>
      <c r="AF37" s="90">
        <f>PV($I$37,20,,-1)</f>
        <v>0.45638694620129205</v>
      </c>
      <c r="AG37" s="90">
        <f>PV($I$37,21,,-1)</f>
        <v>0.43883360211662686</v>
      </c>
      <c r="AH37" s="91">
        <f>PV($I$37,22,,-1)</f>
        <v>0.4219553866506028</v>
      </c>
    </row>
    <row r="38" spans="8:34" ht="13.5">
      <c r="H38" s="82"/>
      <c r="I38" s="88">
        <v>0.045</v>
      </c>
      <c r="J38" s="89"/>
      <c r="K38" s="89"/>
      <c r="L38" s="89"/>
      <c r="M38" s="90">
        <f t="shared" si="15"/>
        <v>0.9569377990430608</v>
      </c>
      <c r="N38" s="90">
        <f>PV($I$38,2,,-1)</f>
        <v>0.9157299512373802</v>
      </c>
      <c r="O38" s="90">
        <f>PV($I$38,3,,-1)</f>
        <v>0.8762966040549093</v>
      </c>
      <c r="P38" s="90">
        <f>PV($I$38,4,,-1)</f>
        <v>0.8385613435932149</v>
      </c>
      <c r="Q38" s="90">
        <f>PV($I$38,5,,-1)</f>
        <v>0.8024510465006841</v>
      </c>
      <c r="R38" s="90">
        <f>PV($I$38,6,,-1)</f>
        <v>0.7678957382781668</v>
      </c>
      <c r="S38" s="90">
        <f>PV($I$38,7,,-1)</f>
        <v>0.7348284576824562</v>
      </c>
      <c r="T38" s="90">
        <f>PV($I$38,8,,-1)</f>
        <v>0.7031851269688578</v>
      </c>
      <c r="U38" s="90">
        <f>PV($I$38,9,,-1)</f>
        <v>0.6729044277213951</v>
      </c>
      <c r="V38" s="90">
        <f>PV($I$38,10,,-1)</f>
        <v>0.6439276820300432</v>
      </c>
      <c r="W38" s="90">
        <f>PV($I$38,11,,-1)</f>
        <v>0.6161987387847304</v>
      </c>
      <c r="X38" s="90">
        <f>PV($I$38,12,,-1)</f>
        <v>0.5896638648657708</v>
      </c>
      <c r="Y38" s="90">
        <f>PV($I$38,13,,-1)</f>
        <v>0.5642716410198764</v>
      </c>
      <c r="Z38" s="90">
        <f>PV($I$38,14,,-1)</f>
        <v>0.5399728622199775</v>
      </c>
      <c r="AA38" s="90">
        <f>PV($I$38,15,,-1)</f>
        <v>0.516720442315768</v>
      </c>
      <c r="AB38" s="90">
        <f>PV($I$38,16,,-1)</f>
        <v>0.4944693227902088</v>
      </c>
      <c r="AC38" s="90">
        <f>PV($I$38,17,,-1)</f>
        <v>0.4731763854451758</v>
      </c>
      <c r="AD38" s="90">
        <f>PV($I$38,18,,-1)</f>
        <v>0.4528003688470583</v>
      </c>
      <c r="AE38" s="90">
        <f>PV($I$38,19,,-1)</f>
        <v>0.43330178837039074</v>
      </c>
      <c r="AF38" s="90">
        <f>PV($I$38,20,,-1)</f>
        <v>0.41464285968458453</v>
      </c>
      <c r="AG38" s="90">
        <f>PV($I$38,21,,-1)</f>
        <v>0.39678742553548757</v>
      </c>
      <c r="AH38" s="91">
        <f>PV($I$38,22,,-1)</f>
        <v>0.3797008856798925</v>
      </c>
    </row>
    <row r="39" spans="8:34" ht="13.5">
      <c r="H39" s="83"/>
      <c r="I39" s="92">
        <v>0.05</v>
      </c>
      <c r="J39" s="93"/>
      <c r="K39" s="93"/>
      <c r="L39" s="93"/>
      <c r="M39" s="94">
        <f t="shared" si="15"/>
        <v>0.9523809523809532</v>
      </c>
      <c r="N39" s="94">
        <f>PV($I$39,2,,-1)</f>
        <v>0.9070294784580498</v>
      </c>
      <c r="O39" s="94">
        <f>PV($I$39,3,,-1)</f>
        <v>0.863837598531476</v>
      </c>
      <c r="P39" s="94">
        <f>PV($I$39,4,,-1)</f>
        <v>0.822702474791882</v>
      </c>
      <c r="Q39" s="94">
        <f>PV($I$39,5,,-1)</f>
        <v>0.783526166468459</v>
      </c>
      <c r="R39" s="94">
        <f>PV($I$39,6,,-1)</f>
        <v>0.7462153966366276</v>
      </c>
      <c r="S39" s="94">
        <f>PV($I$39,7,,-1)</f>
        <v>0.7106813301301215</v>
      </c>
      <c r="T39" s="94">
        <f>PV($I$39,8,,-1)</f>
        <v>0.6768393620286872</v>
      </c>
      <c r="U39" s="94">
        <f>PV($I$39,9,,-1)</f>
        <v>0.6446089162177973</v>
      </c>
      <c r="V39" s="94">
        <f>PV($I$39,10,,-1)</f>
        <v>0.6139132535407593</v>
      </c>
      <c r="W39" s="94">
        <f>PV($I$39,11,,-1)</f>
        <v>0.5846792890864374</v>
      </c>
      <c r="X39" s="94">
        <f>PV($I$39,12,,-1)</f>
        <v>0.5568374181775595</v>
      </c>
      <c r="Y39" s="94">
        <f>PV($I$39,13,,-1)</f>
        <v>0.5303213506452946</v>
      </c>
      <c r="Z39" s="94">
        <f>PV($I$39,14,,-1)</f>
        <v>0.5050679529955189</v>
      </c>
      <c r="AA39" s="94">
        <f>PV($I$39,15,,-1)</f>
        <v>0.4810170980909702</v>
      </c>
      <c r="AB39" s="94">
        <f>PV($I$39,16,,-1)</f>
        <v>0.4581115219914002</v>
      </c>
      <c r="AC39" s="94">
        <f>PV($I$39,17,,-1)</f>
        <v>0.43629668761085727</v>
      </c>
      <c r="AD39" s="94">
        <f>PV($I$39,18,,-1)</f>
        <v>0.41552065486748313</v>
      </c>
      <c r="AE39" s="94">
        <f>PV($I$39,19,,-1)</f>
        <v>0.3957339570166506</v>
      </c>
      <c r="AF39" s="94">
        <f>PV($I$39,20,,-1)</f>
        <v>0.3768894828730006</v>
      </c>
      <c r="AG39" s="94">
        <f>PV($I$39,21,,-1)</f>
        <v>0.35894236464095297</v>
      </c>
      <c r="AH39" s="95">
        <f>PV($I$39,22,,-1)</f>
        <v>0.3418498710866219</v>
      </c>
    </row>
    <row r="43" spans="33:39" ht="13.5">
      <c r="AG43" s="44" t="s">
        <v>51</v>
      </c>
      <c r="AH43" s="44"/>
      <c r="AL43" s="44" t="s">
        <v>51</v>
      </c>
      <c r="AM43" s="44"/>
    </row>
    <row r="44" spans="7:39" ht="19.5" customHeight="1">
      <c r="G44" s="3"/>
      <c r="H44" s="45" t="s">
        <v>52</v>
      </c>
      <c r="I44" s="5"/>
      <c r="J44" s="5"/>
      <c r="K44" s="5"/>
      <c r="L44" s="6">
        <v>1999</v>
      </c>
      <c r="M44" s="6">
        <v>2000</v>
      </c>
      <c r="N44" s="6">
        <v>2001</v>
      </c>
      <c r="O44" s="6">
        <v>2002</v>
      </c>
      <c r="P44" s="6">
        <v>2003</v>
      </c>
      <c r="Q44" s="6">
        <v>2004</v>
      </c>
      <c r="R44" s="6">
        <v>2005</v>
      </c>
      <c r="S44" s="6">
        <v>2006</v>
      </c>
      <c r="T44" s="6">
        <v>2007</v>
      </c>
      <c r="U44" s="6">
        <v>2008</v>
      </c>
      <c r="V44" s="6">
        <v>2009</v>
      </c>
      <c r="W44" s="6">
        <v>2010</v>
      </c>
      <c r="X44" s="6">
        <v>2011</v>
      </c>
      <c r="Y44" s="6">
        <v>2012</v>
      </c>
      <c r="Z44" s="6">
        <v>2013</v>
      </c>
      <c r="AA44" s="6">
        <v>2014</v>
      </c>
      <c r="AB44" s="6">
        <v>2015</v>
      </c>
      <c r="AC44" s="6">
        <v>2016</v>
      </c>
      <c r="AD44" s="6">
        <v>2017</v>
      </c>
      <c r="AE44" s="6">
        <v>2018</v>
      </c>
      <c r="AF44" s="6">
        <v>2019</v>
      </c>
      <c r="AG44" s="6">
        <v>2020</v>
      </c>
      <c r="AH44" s="6">
        <v>2021</v>
      </c>
      <c r="AI44" s="6">
        <v>2022</v>
      </c>
      <c r="AJ44" s="6">
        <v>2023</v>
      </c>
      <c r="AK44" s="6">
        <v>2024</v>
      </c>
      <c r="AL44" s="6">
        <v>2025</v>
      </c>
      <c r="AM44" s="6">
        <v>2026</v>
      </c>
    </row>
    <row r="45" spans="7:39" ht="18" customHeight="1">
      <c r="G45" s="7"/>
      <c r="H45" s="8"/>
      <c r="I45" s="5"/>
      <c r="J45" s="46"/>
      <c r="K45" s="9"/>
      <c r="L45" s="61" t="s">
        <v>2</v>
      </c>
      <c r="M45" s="61" t="s">
        <v>3</v>
      </c>
      <c r="N45" s="61" t="s">
        <v>4</v>
      </c>
      <c r="O45" s="61" t="s">
        <v>5</v>
      </c>
      <c r="P45" s="61" t="s">
        <v>6</v>
      </c>
      <c r="Q45" s="61" t="s">
        <v>7</v>
      </c>
      <c r="R45" s="61" t="s">
        <v>8</v>
      </c>
      <c r="S45" s="61" t="s">
        <v>9</v>
      </c>
      <c r="T45" s="61" t="s">
        <v>10</v>
      </c>
      <c r="U45" s="61" t="s">
        <v>11</v>
      </c>
      <c r="V45" s="61" t="s">
        <v>12</v>
      </c>
      <c r="W45" s="61" t="s">
        <v>13</v>
      </c>
      <c r="X45" s="61" t="s">
        <v>14</v>
      </c>
      <c r="Y45" s="61" t="s">
        <v>15</v>
      </c>
      <c r="Z45" s="61" t="s">
        <v>16</v>
      </c>
      <c r="AA45" s="61" t="s">
        <v>17</v>
      </c>
      <c r="AB45" s="61" t="s">
        <v>18</v>
      </c>
      <c r="AC45" s="61" t="s">
        <v>19</v>
      </c>
      <c r="AD45" s="61" t="s">
        <v>20</v>
      </c>
      <c r="AE45" s="61" t="s">
        <v>21</v>
      </c>
      <c r="AF45" s="61" t="s">
        <v>22</v>
      </c>
      <c r="AG45" s="61" t="s">
        <v>23</v>
      </c>
      <c r="AH45" s="61" t="s">
        <v>24</v>
      </c>
      <c r="AI45" s="61" t="s">
        <v>53</v>
      </c>
      <c r="AJ45" s="61" t="s">
        <v>54</v>
      </c>
      <c r="AK45" s="61" t="s">
        <v>55</v>
      </c>
      <c r="AL45" s="61" t="s">
        <v>56</v>
      </c>
      <c r="AM45" s="61" t="s">
        <v>57</v>
      </c>
    </row>
    <row r="46" spans="7:39" ht="18" customHeight="1">
      <c r="G46" s="11"/>
      <c r="H46" s="98" t="s">
        <v>87</v>
      </c>
      <c r="I46" s="13"/>
      <c r="J46" s="20"/>
      <c r="K46" s="14"/>
      <c r="L46" s="15">
        <f>L6</f>
        <v>33</v>
      </c>
      <c r="M46" s="15">
        <f>M6</f>
        <v>34</v>
      </c>
      <c r="N46" s="15">
        <f>N6</f>
        <v>35</v>
      </c>
      <c r="O46" s="15">
        <f aca="true" t="shared" si="16" ref="O46:AH46">O6</f>
        <v>36</v>
      </c>
      <c r="P46" s="15">
        <f t="shared" si="16"/>
        <v>37</v>
      </c>
      <c r="Q46" s="15">
        <f t="shared" si="16"/>
        <v>38</v>
      </c>
      <c r="R46" s="15">
        <f t="shared" si="16"/>
        <v>39</v>
      </c>
      <c r="S46" s="15">
        <f t="shared" si="16"/>
        <v>40</v>
      </c>
      <c r="T46" s="15">
        <f t="shared" si="16"/>
        <v>41</v>
      </c>
      <c r="U46" s="15">
        <f t="shared" si="16"/>
        <v>42</v>
      </c>
      <c r="V46" s="15">
        <f t="shared" si="16"/>
        <v>43</v>
      </c>
      <c r="W46" s="15">
        <f t="shared" si="16"/>
        <v>44</v>
      </c>
      <c r="X46" s="15">
        <f t="shared" si="16"/>
        <v>45</v>
      </c>
      <c r="Y46" s="15">
        <f t="shared" si="16"/>
        <v>46</v>
      </c>
      <c r="Z46" s="15">
        <f t="shared" si="16"/>
        <v>47</v>
      </c>
      <c r="AA46" s="15">
        <f t="shared" si="16"/>
        <v>48</v>
      </c>
      <c r="AB46" s="15">
        <f t="shared" si="16"/>
        <v>49</v>
      </c>
      <c r="AC46" s="15">
        <f t="shared" si="16"/>
        <v>50</v>
      </c>
      <c r="AD46" s="15">
        <f t="shared" si="16"/>
        <v>51</v>
      </c>
      <c r="AE46" s="15">
        <f t="shared" si="16"/>
        <v>52</v>
      </c>
      <c r="AF46" s="15">
        <f t="shared" si="16"/>
        <v>53</v>
      </c>
      <c r="AG46" s="15">
        <f t="shared" si="16"/>
        <v>54</v>
      </c>
      <c r="AH46" s="15">
        <f t="shared" si="16"/>
        <v>55</v>
      </c>
      <c r="AI46" s="15">
        <f>AI6</f>
        <v>56</v>
      </c>
      <c r="AJ46" s="15">
        <f>AJ6</f>
        <v>57</v>
      </c>
      <c r="AK46" s="15">
        <f>AK6</f>
        <v>58</v>
      </c>
      <c r="AL46" s="15">
        <f>AL6</f>
        <v>59</v>
      </c>
      <c r="AM46" s="15">
        <f>AM6</f>
        <v>60</v>
      </c>
    </row>
    <row r="47" spans="7:39" ht="30" customHeight="1">
      <c r="G47" s="47"/>
      <c r="H47" s="48"/>
      <c r="I47" s="49"/>
      <c r="J47" s="50"/>
      <c r="K47" s="49"/>
      <c r="L47" s="51">
        <f>IF(L7="","",L7)</f>
      </c>
      <c r="M47" s="51">
        <f aca="true" t="shared" si="17" ref="M47:AH53">IF(M7="","",M7)</f>
      </c>
      <c r="N47" s="51">
        <f t="shared" si="17"/>
      </c>
      <c r="O47" s="51">
        <f t="shared" si="17"/>
      </c>
      <c r="P47" s="51">
        <f t="shared" si="17"/>
      </c>
      <c r="Q47" s="51">
        <f t="shared" si="17"/>
      </c>
      <c r="R47" s="51">
        <f t="shared" si="17"/>
      </c>
      <c r="S47" s="51">
        <f t="shared" si="17"/>
      </c>
      <c r="T47" s="51">
        <f t="shared" si="17"/>
      </c>
      <c r="U47" s="51">
        <f t="shared" si="17"/>
      </c>
      <c r="V47" s="51">
        <f t="shared" si="17"/>
      </c>
      <c r="W47" s="51">
        <f t="shared" si="17"/>
      </c>
      <c r="X47" s="51" t="str">
        <f t="shared" si="17"/>
        <v>定期保険更新</v>
      </c>
      <c r="Y47" s="51">
        <f t="shared" si="17"/>
      </c>
      <c r="Z47" s="51">
        <f t="shared" si="17"/>
      </c>
      <c r="AA47" s="51">
        <f t="shared" si="17"/>
      </c>
      <c r="AB47" s="51">
        <f t="shared" si="17"/>
      </c>
      <c r="AC47" s="51">
        <f t="shared" si="17"/>
      </c>
      <c r="AD47" s="51">
        <f t="shared" si="17"/>
      </c>
      <c r="AE47" s="51">
        <f t="shared" si="17"/>
      </c>
      <c r="AF47" s="51">
        <f t="shared" si="17"/>
      </c>
      <c r="AG47" s="51">
        <f t="shared" si="17"/>
      </c>
      <c r="AH47" s="51">
        <f t="shared" si="17"/>
      </c>
      <c r="AI47" s="51">
        <f>IF(AI7="","",AI7)</f>
      </c>
      <c r="AJ47" s="51">
        <f>IF(AJ7="","",AJ7)</f>
      </c>
      <c r="AK47" s="51">
        <f>IF(AK7="","",AK7)</f>
      </c>
      <c r="AL47" s="51">
        <f>IF(AL7="","",AL7)</f>
      </c>
      <c r="AM47" s="51">
        <f>IF(AM7="","",AM7)</f>
      </c>
    </row>
    <row r="48" spans="7:39" ht="18" customHeight="1">
      <c r="G48" s="11"/>
      <c r="H48" s="98" t="s">
        <v>91</v>
      </c>
      <c r="I48" s="14"/>
      <c r="J48" s="20"/>
      <c r="K48" s="14"/>
      <c r="L48" s="15">
        <f>L8</f>
        <v>30</v>
      </c>
      <c r="M48" s="15">
        <f>M8</f>
        <v>31</v>
      </c>
      <c r="N48" s="15">
        <f aca="true" t="shared" si="18" ref="N48:AM48">N8</f>
        <v>32</v>
      </c>
      <c r="O48" s="15">
        <f t="shared" si="18"/>
        <v>33</v>
      </c>
      <c r="P48" s="15">
        <f t="shared" si="18"/>
        <v>34</v>
      </c>
      <c r="Q48" s="15">
        <f t="shared" si="18"/>
        <v>35</v>
      </c>
      <c r="R48" s="15">
        <f t="shared" si="18"/>
        <v>36</v>
      </c>
      <c r="S48" s="15">
        <f t="shared" si="18"/>
        <v>37</v>
      </c>
      <c r="T48" s="15">
        <f t="shared" si="18"/>
        <v>38</v>
      </c>
      <c r="U48" s="15">
        <f t="shared" si="18"/>
        <v>39</v>
      </c>
      <c r="V48" s="15">
        <f t="shared" si="18"/>
        <v>40</v>
      </c>
      <c r="W48" s="15">
        <f t="shared" si="18"/>
        <v>41</v>
      </c>
      <c r="X48" s="15">
        <f t="shared" si="18"/>
        <v>42</v>
      </c>
      <c r="Y48" s="15">
        <f t="shared" si="18"/>
        <v>43</v>
      </c>
      <c r="Z48" s="15">
        <f t="shared" si="18"/>
        <v>44</v>
      </c>
      <c r="AA48" s="15">
        <f t="shared" si="18"/>
        <v>45</v>
      </c>
      <c r="AB48" s="15">
        <f t="shared" si="18"/>
        <v>46</v>
      </c>
      <c r="AC48" s="15">
        <f t="shared" si="18"/>
        <v>47</v>
      </c>
      <c r="AD48" s="15">
        <f t="shared" si="18"/>
        <v>48</v>
      </c>
      <c r="AE48" s="15">
        <f t="shared" si="18"/>
        <v>49</v>
      </c>
      <c r="AF48" s="15">
        <f t="shared" si="18"/>
        <v>50</v>
      </c>
      <c r="AG48" s="15">
        <f t="shared" si="18"/>
        <v>51</v>
      </c>
      <c r="AH48" s="15">
        <f t="shared" si="18"/>
        <v>52</v>
      </c>
      <c r="AI48" s="15">
        <f t="shared" si="18"/>
        <v>53</v>
      </c>
      <c r="AJ48" s="15">
        <f t="shared" si="18"/>
        <v>54</v>
      </c>
      <c r="AK48" s="15">
        <f t="shared" si="18"/>
        <v>55</v>
      </c>
      <c r="AL48" s="15">
        <f t="shared" si="18"/>
        <v>56</v>
      </c>
      <c r="AM48" s="15">
        <f t="shared" si="18"/>
        <v>57</v>
      </c>
    </row>
    <row r="49" spans="7:39" ht="30" customHeight="1">
      <c r="G49" s="47"/>
      <c r="H49" s="48"/>
      <c r="I49" s="49"/>
      <c r="J49" s="50"/>
      <c r="K49" s="49"/>
      <c r="L49" s="51">
        <f>IF(L9="","",L9)</f>
      </c>
      <c r="M49" s="51">
        <f t="shared" si="17"/>
      </c>
      <c r="N49" s="51">
        <f t="shared" si="17"/>
      </c>
      <c r="O49" s="51">
        <f t="shared" si="17"/>
      </c>
      <c r="P49" s="51">
        <f t="shared" si="17"/>
      </c>
      <c r="Q49" s="51">
        <f t="shared" si="17"/>
      </c>
      <c r="R49" s="51">
        <f t="shared" si="17"/>
      </c>
      <c r="S49" s="51">
        <f t="shared" si="17"/>
      </c>
      <c r="T49" s="51">
        <f t="shared" si="17"/>
      </c>
      <c r="U49" s="51">
        <f t="shared" si="17"/>
      </c>
      <c r="V49" s="51">
        <f t="shared" si="17"/>
      </c>
      <c r="W49" s="51">
        <f t="shared" si="17"/>
      </c>
      <c r="X49" s="51">
        <f t="shared" si="17"/>
      </c>
      <c r="Y49" s="51">
        <f t="shared" si="17"/>
      </c>
      <c r="Z49" s="51">
        <f t="shared" si="17"/>
      </c>
      <c r="AA49" s="51">
        <f t="shared" si="17"/>
      </c>
      <c r="AB49" s="51">
        <f t="shared" si="17"/>
      </c>
      <c r="AC49" s="51">
        <f t="shared" si="17"/>
      </c>
      <c r="AD49" s="51">
        <f t="shared" si="17"/>
      </c>
      <c r="AE49" s="51">
        <f t="shared" si="17"/>
      </c>
      <c r="AF49" s="51">
        <f t="shared" si="17"/>
      </c>
      <c r="AG49" s="51">
        <f t="shared" si="17"/>
      </c>
      <c r="AH49" s="51">
        <f t="shared" si="17"/>
      </c>
      <c r="AI49" s="51">
        <f>IF(AI9="","",AI9)</f>
      </c>
      <c r="AJ49" s="51">
        <f>IF(AJ9="","",AJ9)</f>
      </c>
      <c r="AK49" s="51">
        <f>IF(AK9="","",AK9)</f>
      </c>
      <c r="AL49" s="51">
        <f>IF(AL9="","",AL9)</f>
      </c>
      <c r="AM49" s="51">
        <f>IF(AM9="","",AM9)</f>
      </c>
    </row>
    <row r="50" spans="7:39" ht="18" customHeight="1">
      <c r="G50" s="11"/>
      <c r="H50" s="98" t="s">
        <v>92</v>
      </c>
      <c r="I50" s="14"/>
      <c r="J50" s="20"/>
      <c r="K50" s="14"/>
      <c r="L50" s="15">
        <f>L10</f>
        <v>4</v>
      </c>
      <c r="M50" s="15">
        <f>M10</f>
        <v>5</v>
      </c>
      <c r="N50" s="15">
        <f aca="true" t="shared" si="19" ref="N50:AH50">N10</f>
        <v>6</v>
      </c>
      <c r="O50" s="15">
        <f t="shared" si="19"/>
        <v>7</v>
      </c>
      <c r="P50" s="15">
        <f t="shared" si="19"/>
        <v>8</v>
      </c>
      <c r="Q50" s="15">
        <f t="shared" si="19"/>
        <v>9</v>
      </c>
      <c r="R50" s="15">
        <f t="shared" si="19"/>
        <v>10</v>
      </c>
      <c r="S50" s="15">
        <f t="shared" si="19"/>
        <v>11</v>
      </c>
      <c r="T50" s="15">
        <f t="shared" si="19"/>
        <v>12</v>
      </c>
      <c r="U50" s="15">
        <f t="shared" si="19"/>
        <v>13</v>
      </c>
      <c r="V50" s="15">
        <f t="shared" si="19"/>
        <v>14</v>
      </c>
      <c r="W50" s="15">
        <f t="shared" si="19"/>
        <v>15</v>
      </c>
      <c r="X50" s="15">
        <f t="shared" si="19"/>
        <v>16</v>
      </c>
      <c r="Y50" s="15">
        <f t="shared" si="19"/>
        <v>17</v>
      </c>
      <c r="Z50" s="15">
        <f t="shared" si="19"/>
        <v>18</v>
      </c>
      <c r="AA50" s="15">
        <f t="shared" si="19"/>
        <v>19</v>
      </c>
      <c r="AB50" s="15">
        <f t="shared" si="19"/>
        <v>20</v>
      </c>
      <c r="AC50" s="15">
        <f t="shared" si="19"/>
        <v>21</v>
      </c>
      <c r="AD50" s="15">
        <f t="shared" si="19"/>
        <v>22</v>
      </c>
      <c r="AE50" s="15">
        <f t="shared" si="19"/>
        <v>23</v>
      </c>
      <c r="AF50" s="15">
        <f t="shared" si="19"/>
        <v>24</v>
      </c>
      <c r="AG50" s="15">
        <f t="shared" si="19"/>
        <v>25</v>
      </c>
      <c r="AH50" s="15">
        <f t="shared" si="19"/>
        <v>26</v>
      </c>
      <c r="AI50" s="15">
        <f>AI10</f>
        <v>27</v>
      </c>
      <c r="AJ50" s="15">
        <f>AJ10</f>
        <v>28</v>
      </c>
      <c r="AK50" s="15">
        <f>AK10</f>
        <v>29</v>
      </c>
      <c r="AL50" s="15">
        <f>AL10</f>
        <v>30</v>
      </c>
      <c r="AM50" s="15">
        <f>AM10</f>
        <v>31</v>
      </c>
    </row>
    <row r="51" spans="7:39" ht="30" customHeight="1">
      <c r="G51" s="47"/>
      <c r="H51" s="48"/>
      <c r="I51" s="49"/>
      <c r="J51" s="50"/>
      <c r="K51" s="49"/>
      <c r="L51" s="51">
        <f>IF(L11="","",L11)</f>
      </c>
      <c r="M51" s="51" t="str">
        <f t="shared" si="17"/>
        <v>幼稚園入園</v>
      </c>
      <c r="N51" s="51">
        <f t="shared" si="17"/>
      </c>
      <c r="O51" s="51" t="str">
        <f t="shared" si="17"/>
        <v>小学校 入学  </v>
      </c>
      <c r="P51" s="51">
        <f t="shared" si="17"/>
      </c>
      <c r="Q51" s="51">
        <f t="shared" si="17"/>
      </c>
      <c r="R51" s="51">
        <f t="shared" si="17"/>
      </c>
      <c r="S51" s="51">
        <f t="shared" si="17"/>
      </c>
      <c r="T51" s="51">
        <f t="shared" si="17"/>
      </c>
      <c r="U51" s="51" t="str">
        <f t="shared" si="17"/>
        <v>中学校入学</v>
      </c>
      <c r="V51" s="51">
        <f t="shared" si="17"/>
      </c>
      <c r="W51" s="51">
        <f t="shared" si="17"/>
      </c>
      <c r="X51" s="51" t="str">
        <f t="shared" si="17"/>
        <v>高校入学</v>
      </c>
      <c r="Y51" s="51">
        <f t="shared" si="17"/>
      </c>
      <c r="Z51" s="51">
        <f t="shared" si="17"/>
      </c>
      <c r="AA51" s="51" t="str">
        <f t="shared" si="17"/>
        <v>大学入学</v>
      </c>
      <c r="AB51" s="51">
        <f t="shared" si="17"/>
      </c>
      <c r="AC51" s="51">
        <f t="shared" si="17"/>
      </c>
      <c r="AD51" s="51">
        <f t="shared" si="17"/>
      </c>
      <c r="AE51" s="51" t="str">
        <f t="shared" si="17"/>
        <v>就職</v>
      </c>
      <c r="AF51" s="51">
        <f t="shared" si="17"/>
      </c>
      <c r="AG51" s="51">
        <f t="shared" si="17"/>
      </c>
      <c r="AH51" s="51" t="str">
        <f t="shared" si="17"/>
        <v>結婚</v>
      </c>
      <c r="AI51" s="51">
        <f>IF(AI11="","",AI11)</f>
      </c>
      <c r="AJ51" s="51">
        <f>IF(AJ11="","",AJ11)</f>
      </c>
      <c r="AK51" s="51">
        <f>IF(AK11="","",AK11)</f>
      </c>
      <c r="AL51" s="51">
        <f>IF(AL11="","",AL11)</f>
      </c>
      <c r="AM51" s="51">
        <f>IF(AM11="","",AM11)</f>
      </c>
    </row>
    <row r="52" spans="7:39" ht="18" customHeight="1">
      <c r="G52" s="21"/>
      <c r="H52" s="99" t="s">
        <v>93</v>
      </c>
      <c r="I52" s="13"/>
      <c r="J52" s="12"/>
      <c r="K52" s="13"/>
      <c r="L52" s="52">
        <f>L12</f>
        <v>1</v>
      </c>
      <c r="M52" s="52">
        <f>M12</f>
        <v>2</v>
      </c>
      <c r="N52" s="52">
        <f aca="true" t="shared" si="20" ref="N52:AH52">N12</f>
        <v>3</v>
      </c>
      <c r="O52" s="52">
        <f t="shared" si="20"/>
        <v>4</v>
      </c>
      <c r="P52" s="52">
        <f t="shared" si="20"/>
        <v>5</v>
      </c>
      <c r="Q52" s="52">
        <f t="shared" si="20"/>
        <v>6</v>
      </c>
      <c r="R52" s="52">
        <f t="shared" si="20"/>
        <v>7</v>
      </c>
      <c r="S52" s="52">
        <f t="shared" si="20"/>
        <v>8</v>
      </c>
      <c r="T52" s="52">
        <f t="shared" si="20"/>
        <v>9</v>
      </c>
      <c r="U52" s="52">
        <f t="shared" si="20"/>
        <v>10</v>
      </c>
      <c r="V52" s="52">
        <f t="shared" si="20"/>
        <v>11</v>
      </c>
      <c r="W52" s="52">
        <f t="shared" si="20"/>
        <v>12</v>
      </c>
      <c r="X52" s="52">
        <f t="shared" si="20"/>
        <v>13</v>
      </c>
      <c r="Y52" s="52">
        <f t="shared" si="20"/>
        <v>14</v>
      </c>
      <c r="Z52" s="52">
        <f t="shared" si="20"/>
        <v>15</v>
      </c>
      <c r="AA52" s="52">
        <f t="shared" si="20"/>
        <v>16</v>
      </c>
      <c r="AB52" s="52">
        <f t="shared" si="20"/>
        <v>17</v>
      </c>
      <c r="AC52" s="52">
        <f t="shared" si="20"/>
        <v>18</v>
      </c>
      <c r="AD52" s="52">
        <f t="shared" si="20"/>
        <v>19</v>
      </c>
      <c r="AE52" s="52">
        <f t="shared" si="20"/>
        <v>20</v>
      </c>
      <c r="AF52" s="52">
        <f t="shared" si="20"/>
        <v>21</v>
      </c>
      <c r="AG52" s="52">
        <f t="shared" si="20"/>
        <v>22</v>
      </c>
      <c r="AH52" s="52">
        <f t="shared" si="20"/>
        <v>23</v>
      </c>
      <c r="AI52" s="52">
        <f>AI12</f>
        <v>24</v>
      </c>
      <c r="AJ52" s="52">
        <f>AJ12</f>
        <v>25</v>
      </c>
      <c r="AK52" s="52">
        <f>AK12</f>
        <v>26</v>
      </c>
      <c r="AL52" s="52">
        <f>AL12</f>
        <v>27</v>
      </c>
      <c r="AM52" s="52">
        <f>AM12</f>
        <v>28</v>
      </c>
    </row>
    <row r="53" spans="7:39" ht="30" customHeight="1">
      <c r="G53" s="7"/>
      <c r="H53" s="53"/>
      <c r="I53" s="49"/>
      <c r="J53" s="54"/>
      <c r="K53" s="55"/>
      <c r="L53" s="51">
        <f>IF(L13="","",L13)</f>
      </c>
      <c r="M53" s="51">
        <f t="shared" si="17"/>
      </c>
      <c r="N53" s="51">
        <f t="shared" si="17"/>
      </c>
      <c r="O53" s="51">
        <f t="shared" si="17"/>
      </c>
      <c r="P53" s="51" t="str">
        <f t="shared" si="17"/>
        <v>幼稚園入園</v>
      </c>
      <c r="Q53" s="51">
        <f t="shared" si="17"/>
      </c>
      <c r="R53" s="51" t="str">
        <f t="shared" si="17"/>
        <v>小学校入学</v>
      </c>
      <c r="S53" s="51">
        <f t="shared" si="17"/>
      </c>
      <c r="T53" s="51">
        <f t="shared" si="17"/>
      </c>
      <c r="U53" s="51">
        <f t="shared" si="17"/>
      </c>
      <c r="V53" s="51">
        <f t="shared" si="17"/>
      </c>
      <c r="W53" s="51">
        <f t="shared" si="17"/>
      </c>
      <c r="X53" s="51" t="str">
        <f t="shared" si="17"/>
        <v>中学校入学</v>
      </c>
      <c r="Y53" s="51">
        <f t="shared" si="17"/>
      </c>
      <c r="Z53" s="51">
        <f t="shared" si="17"/>
      </c>
      <c r="AA53" s="51" t="str">
        <f t="shared" si="17"/>
        <v>高校入学</v>
      </c>
      <c r="AB53" s="51">
        <f t="shared" si="17"/>
      </c>
      <c r="AC53" s="51">
        <f t="shared" si="17"/>
      </c>
      <c r="AD53" s="51" t="str">
        <f t="shared" si="17"/>
        <v>大学入学</v>
      </c>
      <c r="AE53" s="51">
        <f t="shared" si="17"/>
      </c>
      <c r="AF53" s="51">
        <f t="shared" si="17"/>
      </c>
      <c r="AG53" s="51">
        <f t="shared" si="17"/>
      </c>
      <c r="AH53" s="51" t="str">
        <f t="shared" si="17"/>
        <v>就職</v>
      </c>
      <c r="AI53" s="51">
        <f>IF(AI13="","",AI13)</f>
      </c>
      <c r="AJ53" s="51">
        <f>IF(AJ13="","",AJ13)</f>
      </c>
      <c r="AK53" s="51">
        <f>IF(AK13="","",AK13)</f>
      </c>
      <c r="AL53" s="51">
        <f>IF(AL13="","",AL13)</f>
      </c>
      <c r="AM53" s="51">
        <f>IF(AM13="","",AM13)</f>
      </c>
    </row>
    <row r="54" spans="7:39" ht="25.5" customHeight="1">
      <c r="G54" s="56" t="s">
        <v>58</v>
      </c>
      <c r="H54" s="57" t="s">
        <v>59</v>
      </c>
      <c r="I54" s="100">
        <f>IF($F$22="","",$F$22)</f>
        <v>0.015</v>
      </c>
      <c r="J54" s="58">
        <f>IF($C$22="","",$C$22)</f>
        <v>544</v>
      </c>
      <c r="K54" s="58"/>
      <c r="L54" s="59">
        <f>J54</f>
        <v>544</v>
      </c>
      <c r="M54" s="59">
        <f>IF(L54="","",L54*$I$54+L54)</f>
        <v>552.16</v>
      </c>
      <c r="N54" s="59">
        <f aca="true" t="shared" si="21" ref="N54:AH54">IF(M54="","",M54*$I$54+M54)</f>
        <v>560.4424</v>
      </c>
      <c r="O54" s="59">
        <f t="shared" si="21"/>
        <v>568.8490360000001</v>
      </c>
      <c r="P54" s="59">
        <f t="shared" si="21"/>
        <v>577.38177154</v>
      </c>
      <c r="Q54" s="59">
        <f t="shared" si="21"/>
        <v>586.0424981131</v>
      </c>
      <c r="R54" s="59">
        <f t="shared" si="21"/>
        <v>594.8331355847965</v>
      </c>
      <c r="S54" s="59">
        <f t="shared" si="21"/>
        <v>603.7556326185685</v>
      </c>
      <c r="T54" s="59">
        <f t="shared" si="21"/>
        <v>612.8119671078471</v>
      </c>
      <c r="U54" s="59">
        <f t="shared" si="21"/>
        <v>622.0041466144647</v>
      </c>
      <c r="V54" s="59">
        <f t="shared" si="21"/>
        <v>631.3342088136817</v>
      </c>
      <c r="W54" s="59">
        <f t="shared" si="21"/>
        <v>640.8042219458869</v>
      </c>
      <c r="X54" s="59">
        <f t="shared" si="21"/>
        <v>650.4162852750752</v>
      </c>
      <c r="Y54" s="59">
        <f t="shared" si="21"/>
        <v>660.1725295542013</v>
      </c>
      <c r="Z54" s="59">
        <f t="shared" si="21"/>
        <v>670.0751174975144</v>
      </c>
      <c r="AA54" s="59">
        <f t="shared" si="21"/>
        <v>680.126244259977</v>
      </c>
      <c r="AB54" s="59">
        <f t="shared" si="21"/>
        <v>690.3281379238767</v>
      </c>
      <c r="AC54" s="59">
        <f t="shared" si="21"/>
        <v>700.6830599927349</v>
      </c>
      <c r="AD54" s="59">
        <f t="shared" si="21"/>
        <v>711.193305892626</v>
      </c>
      <c r="AE54" s="59">
        <f t="shared" si="21"/>
        <v>721.8612054810153</v>
      </c>
      <c r="AF54" s="59">
        <f t="shared" si="21"/>
        <v>732.6891235632305</v>
      </c>
      <c r="AG54" s="59">
        <f t="shared" si="21"/>
        <v>743.6794604166789</v>
      </c>
      <c r="AH54" s="59">
        <f t="shared" si="21"/>
        <v>754.8346523229291</v>
      </c>
      <c r="AI54" s="59">
        <f>AH54</f>
        <v>754.8346523229291</v>
      </c>
      <c r="AJ54" s="59">
        <f>AI54</f>
        <v>754.8346523229291</v>
      </c>
      <c r="AK54" s="59">
        <f>AJ54</f>
        <v>754.8346523229291</v>
      </c>
      <c r="AL54" s="59">
        <f>AK54</f>
        <v>754.8346523229291</v>
      </c>
      <c r="AM54" s="59">
        <f>AL54</f>
        <v>754.8346523229291</v>
      </c>
    </row>
    <row r="55" spans="7:39" ht="25.5" customHeight="1">
      <c r="G55" s="60" t="s">
        <v>60</v>
      </c>
      <c r="H55" s="61" t="s">
        <v>61</v>
      </c>
      <c r="I55" s="101"/>
      <c r="J55" s="62"/>
      <c r="K55" s="62"/>
      <c r="L55" s="63" t="str">
        <f>IF(L15="","",L15)</f>
        <v> </v>
      </c>
      <c r="M55" s="63" t="str">
        <f aca="true" t="shared" si="22" ref="M55:AH55">IF(M15="","",M15)</f>
        <v> </v>
      </c>
      <c r="N55" s="63">
        <f t="shared" si="22"/>
      </c>
      <c r="O55" s="63">
        <f t="shared" si="22"/>
      </c>
      <c r="P55" s="63">
        <f t="shared" si="22"/>
      </c>
      <c r="Q55" s="63">
        <f t="shared" si="22"/>
      </c>
      <c r="R55" s="63">
        <f t="shared" si="22"/>
      </c>
      <c r="S55" s="63">
        <f t="shared" si="22"/>
      </c>
      <c r="T55" s="63">
        <f t="shared" si="22"/>
      </c>
      <c r="U55" s="63">
        <f t="shared" si="22"/>
      </c>
      <c r="V55" s="63">
        <f t="shared" si="22"/>
      </c>
      <c r="W55" s="63">
        <f t="shared" si="22"/>
      </c>
      <c r="X55" s="63">
        <f t="shared" si="22"/>
      </c>
      <c r="Y55" s="63">
        <f t="shared" si="22"/>
      </c>
      <c r="Z55" s="63">
        <f t="shared" si="22"/>
      </c>
      <c r="AA55" s="63">
        <f t="shared" si="22"/>
      </c>
      <c r="AB55" s="63">
        <f t="shared" si="22"/>
      </c>
      <c r="AC55" s="63">
        <f t="shared" si="22"/>
      </c>
      <c r="AD55" s="63">
        <f t="shared" si="22"/>
      </c>
      <c r="AE55" s="63">
        <f t="shared" si="22"/>
      </c>
      <c r="AF55" s="63">
        <f t="shared" si="22"/>
      </c>
      <c r="AG55" s="63">
        <f t="shared" si="22"/>
      </c>
      <c r="AH55" s="63">
        <f t="shared" si="22"/>
      </c>
      <c r="AI55" s="63">
        <f>IF(AI15="","",AI15)</f>
      </c>
      <c r="AJ55" s="63">
        <f>IF(AJ15="","",AJ15)</f>
      </c>
      <c r="AK55" s="63">
        <f>IF(AK15="","",AK15)</f>
      </c>
      <c r="AL55" s="63">
        <f>IF(AL15="","",AL15)</f>
      </c>
      <c r="AM55" s="64">
        <f>IF(AM15="","",AM15)</f>
      </c>
    </row>
    <row r="56" spans="7:39" ht="27.75" customHeight="1">
      <c r="G56" s="65"/>
      <c r="H56" s="66" t="s">
        <v>62</v>
      </c>
      <c r="I56" s="102"/>
      <c r="J56" s="67"/>
      <c r="K56" s="67"/>
      <c r="L56" s="68">
        <f aca="true" t="shared" si="23" ref="L56:AI56">SUM(L54:L55)</f>
        <v>544</v>
      </c>
      <c r="M56" s="68">
        <f t="shared" si="23"/>
        <v>552.16</v>
      </c>
      <c r="N56" s="68">
        <f t="shared" si="23"/>
        <v>560.4424</v>
      </c>
      <c r="O56" s="68">
        <f t="shared" si="23"/>
        <v>568.8490360000001</v>
      </c>
      <c r="P56" s="68">
        <f t="shared" si="23"/>
        <v>577.38177154</v>
      </c>
      <c r="Q56" s="68">
        <f t="shared" si="23"/>
        <v>586.0424981131</v>
      </c>
      <c r="R56" s="68">
        <f t="shared" si="23"/>
        <v>594.8331355847965</v>
      </c>
      <c r="S56" s="68">
        <f t="shared" si="23"/>
        <v>603.7556326185685</v>
      </c>
      <c r="T56" s="68">
        <f t="shared" si="23"/>
        <v>612.8119671078471</v>
      </c>
      <c r="U56" s="68">
        <f t="shared" si="23"/>
        <v>622.0041466144647</v>
      </c>
      <c r="V56" s="68">
        <f t="shared" si="23"/>
        <v>631.3342088136817</v>
      </c>
      <c r="W56" s="68">
        <f t="shared" si="23"/>
        <v>640.8042219458869</v>
      </c>
      <c r="X56" s="68">
        <f t="shared" si="23"/>
        <v>650.4162852750752</v>
      </c>
      <c r="Y56" s="68">
        <f t="shared" si="23"/>
        <v>660.1725295542013</v>
      </c>
      <c r="Z56" s="68">
        <f t="shared" si="23"/>
        <v>670.0751174975144</v>
      </c>
      <c r="AA56" s="68">
        <f t="shared" si="23"/>
        <v>680.126244259977</v>
      </c>
      <c r="AB56" s="68">
        <f t="shared" si="23"/>
        <v>690.3281379238767</v>
      </c>
      <c r="AC56" s="68">
        <f t="shared" si="23"/>
        <v>700.6830599927349</v>
      </c>
      <c r="AD56" s="68">
        <f t="shared" si="23"/>
        <v>711.193305892626</v>
      </c>
      <c r="AE56" s="68">
        <f t="shared" si="23"/>
        <v>721.8612054810153</v>
      </c>
      <c r="AF56" s="68">
        <f t="shared" si="23"/>
        <v>732.6891235632305</v>
      </c>
      <c r="AG56" s="68">
        <f t="shared" si="23"/>
        <v>743.6794604166789</v>
      </c>
      <c r="AH56" s="68">
        <f t="shared" si="23"/>
        <v>754.8346523229291</v>
      </c>
      <c r="AI56" s="68">
        <f t="shared" si="23"/>
        <v>754.8346523229291</v>
      </c>
      <c r="AJ56" s="68">
        <f>SUM(AJ54:AJ55)</f>
        <v>754.8346523229291</v>
      </c>
      <c r="AK56" s="68">
        <f>SUM(AK54:AK55)</f>
        <v>754.8346523229291</v>
      </c>
      <c r="AL56" s="68">
        <f>SUM(AL54:AL55)</f>
        <v>754.8346523229291</v>
      </c>
      <c r="AM56" s="68">
        <f>SUM(AM54:AM55)</f>
        <v>754.8346523229291</v>
      </c>
    </row>
    <row r="57" spans="7:39" ht="25.5" customHeight="1">
      <c r="G57" s="56" t="s">
        <v>63</v>
      </c>
      <c r="H57" s="57" t="s">
        <v>64</v>
      </c>
      <c r="I57" s="100">
        <f>IF($F$23="","",$F$23)</f>
        <v>0.02</v>
      </c>
      <c r="J57" s="58">
        <f>IF($C$23="","",$C$23)</f>
        <v>350</v>
      </c>
      <c r="K57" s="58"/>
      <c r="L57" s="59">
        <f>J57</f>
        <v>350</v>
      </c>
      <c r="M57" s="59">
        <f>IF(L57="","",L57*$I$57+L57)</f>
        <v>357</v>
      </c>
      <c r="N57" s="59">
        <f aca="true" t="shared" si="24" ref="N57:AL57">IF(M57="","",M57*$I$57+M57)</f>
        <v>364.14</v>
      </c>
      <c r="O57" s="59">
        <f t="shared" si="24"/>
        <v>371.4228</v>
      </c>
      <c r="P57" s="59">
        <f t="shared" si="24"/>
        <v>378.851256</v>
      </c>
      <c r="Q57" s="59">
        <f t="shared" si="24"/>
        <v>386.42828111999995</v>
      </c>
      <c r="R57" s="59">
        <f t="shared" si="24"/>
        <v>394.1568467424</v>
      </c>
      <c r="S57" s="59">
        <f t="shared" si="24"/>
        <v>402.03998367724796</v>
      </c>
      <c r="T57" s="59">
        <f t="shared" si="24"/>
        <v>410.0807833507929</v>
      </c>
      <c r="U57" s="59">
        <f t="shared" si="24"/>
        <v>418.28239901780876</v>
      </c>
      <c r="V57" s="59">
        <f t="shared" si="24"/>
        <v>426.64804699816494</v>
      </c>
      <c r="W57" s="59">
        <f t="shared" si="24"/>
        <v>435.18100793812823</v>
      </c>
      <c r="X57" s="59">
        <f t="shared" si="24"/>
        <v>443.8846280968908</v>
      </c>
      <c r="Y57" s="59">
        <f t="shared" si="24"/>
        <v>452.7623206588286</v>
      </c>
      <c r="Z57" s="59">
        <f t="shared" si="24"/>
        <v>461.8175670720052</v>
      </c>
      <c r="AA57" s="59">
        <f t="shared" si="24"/>
        <v>471.05391841344533</v>
      </c>
      <c r="AB57" s="59">
        <f t="shared" si="24"/>
        <v>480.47499678171425</v>
      </c>
      <c r="AC57" s="59">
        <f t="shared" si="24"/>
        <v>490.08449671734854</v>
      </c>
      <c r="AD57" s="59">
        <f t="shared" si="24"/>
        <v>499.88618665169554</v>
      </c>
      <c r="AE57" s="59">
        <f>IF(AD57="","",(AD57*$I$57+AD57)*0.8)</f>
        <v>407.9071283077836</v>
      </c>
      <c r="AF57" s="59">
        <f t="shared" si="24"/>
        <v>416.06527087393926</v>
      </c>
      <c r="AG57" s="59">
        <f t="shared" si="24"/>
        <v>424.38657629141807</v>
      </c>
      <c r="AH57" s="59">
        <f>IF(AG57="","",(AG57*$I$57+AG57)*0.8)</f>
        <v>346.29944625379716</v>
      </c>
      <c r="AI57" s="59">
        <f t="shared" si="24"/>
        <v>353.2254351788731</v>
      </c>
      <c r="AJ57" s="59">
        <f t="shared" si="24"/>
        <v>360.2899438824506</v>
      </c>
      <c r="AK57" s="59">
        <f t="shared" si="24"/>
        <v>367.4957427600996</v>
      </c>
      <c r="AL57" s="59">
        <f t="shared" si="24"/>
        <v>374.84565761530155</v>
      </c>
      <c r="AM57" s="59">
        <f>IF(AL57="","",AL57*$I$57+AL57)</f>
        <v>382.3425707676076</v>
      </c>
    </row>
    <row r="58" spans="7:39" ht="25.5" customHeight="1">
      <c r="G58" s="60" t="s">
        <v>65</v>
      </c>
      <c r="H58" s="57" t="s">
        <v>66</v>
      </c>
      <c r="I58" s="100"/>
      <c r="J58" s="58">
        <f>IF($C$24="","",$C$24)</f>
        <v>123</v>
      </c>
      <c r="K58" s="58">
        <f>IF($C$25="","",$C$25)</f>
        <v>150</v>
      </c>
      <c r="L58" s="69">
        <f>J58</f>
        <v>123</v>
      </c>
      <c r="M58" s="69">
        <f aca="true" t="shared" si="25" ref="M58:AH60">L58</f>
        <v>123</v>
      </c>
      <c r="N58" s="69">
        <f t="shared" si="25"/>
        <v>123</v>
      </c>
      <c r="O58" s="69">
        <f>K58</f>
        <v>150</v>
      </c>
      <c r="P58" s="69">
        <f t="shared" si="25"/>
        <v>150</v>
      </c>
      <c r="Q58" s="69">
        <f t="shared" si="25"/>
        <v>150</v>
      </c>
      <c r="R58" s="69">
        <f t="shared" si="25"/>
        <v>150</v>
      </c>
      <c r="S58" s="69">
        <f t="shared" si="25"/>
        <v>150</v>
      </c>
      <c r="T58" s="97">
        <f>IF($C$26="","",$C$26)</f>
        <v>158</v>
      </c>
      <c r="U58" s="69">
        <f t="shared" si="25"/>
        <v>158</v>
      </c>
      <c r="V58" s="69">
        <f t="shared" si="25"/>
        <v>158</v>
      </c>
      <c r="W58" s="69">
        <f t="shared" si="25"/>
        <v>158</v>
      </c>
      <c r="X58" s="69">
        <f t="shared" si="25"/>
        <v>158</v>
      </c>
      <c r="Y58" s="69">
        <f t="shared" si="25"/>
        <v>158</v>
      </c>
      <c r="Z58" s="69">
        <f t="shared" si="25"/>
        <v>158</v>
      </c>
      <c r="AA58" s="69">
        <f t="shared" si="25"/>
        <v>158</v>
      </c>
      <c r="AB58" s="69">
        <f t="shared" si="25"/>
        <v>158</v>
      </c>
      <c r="AC58" s="69">
        <f t="shared" si="25"/>
        <v>158</v>
      </c>
      <c r="AD58" s="69">
        <f t="shared" si="25"/>
        <v>158</v>
      </c>
      <c r="AE58" s="69">
        <f t="shared" si="25"/>
        <v>158</v>
      </c>
      <c r="AF58" s="69">
        <f t="shared" si="25"/>
        <v>158</v>
      </c>
      <c r="AG58" s="69">
        <f t="shared" si="25"/>
        <v>158</v>
      </c>
      <c r="AH58" s="69">
        <f t="shared" si="25"/>
        <v>158</v>
      </c>
      <c r="AI58" s="69">
        <f>AH58</f>
        <v>158</v>
      </c>
      <c r="AJ58" s="69">
        <f>AI58</f>
        <v>158</v>
      </c>
      <c r="AK58" s="69">
        <f>AJ58</f>
        <v>158</v>
      </c>
      <c r="AL58" s="69">
        <f>AK58</f>
        <v>158</v>
      </c>
      <c r="AM58" s="69">
        <f>AL58</f>
        <v>158</v>
      </c>
    </row>
    <row r="59" spans="7:39" ht="25.5" customHeight="1">
      <c r="G59" s="60"/>
      <c r="H59" s="57" t="s">
        <v>67</v>
      </c>
      <c r="I59" s="100">
        <f>IF($F$23="","",$F$23)</f>
        <v>0.02</v>
      </c>
      <c r="J59" s="58"/>
      <c r="K59" s="58"/>
      <c r="L59" s="69">
        <f>IF(L18=0,"",L18)</f>
      </c>
      <c r="M59" s="69">
        <f>IF(M18=0,"",FV($I$59,1,,-M18))</f>
        <v>24.48</v>
      </c>
      <c r="N59" s="69">
        <f>IF(N18=0,"",FV($I$59,2,,-N18))</f>
        <v>26.009999999999998</v>
      </c>
      <c r="O59" s="69">
        <f>IF(O18=0,"",FV($I$59,3,,-O18))</f>
        <v>35.019864</v>
      </c>
      <c r="P59" s="69">
        <f>IF(P18=0,"",FV($I$59,4,,-P18))</f>
        <v>64.9459296</v>
      </c>
      <c r="Q59" s="69">
        <f>IF(Q18=0,"",FV($I$59,5,,-Q18))</f>
        <v>67.3489289952</v>
      </c>
      <c r="R59" s="69">
        <f>IF(R18=0,"",FV($I$59,6,,-R18))</f>
        <v>78.83136934848001</v>
      </c>
      <c r="S59" s="69">
        <f>IF(S18=0,"",FV($I$59,7,,-S18))</f>
        <v>81.55668240309886</v>
      </c>
      <c r="T59" s="69">
        <f>IF(T18=0,"",FV($I$59,8,,-T18))</f>
        <v>85.53113481316538</v>
      </c>
      <c r="U59" s="69">
        <f>IF(U18=0,"",FV($I$59,9,,-U18))</f>
        <v>105.16814603876335</v>
      </c>
      <c r="V59" s="69">
        <f>IF(V18=0,"",FV($I$59,10,,-V18))</f>
        <v>109.70949779952814</v>
      </c>
      <c r="W59" s="69">
        <f>IF(W18=0,"",FV($I$59,11,,-W18))</f>
        <v>114.39043637230799</v>
      </c>
      <c r="X59" s="69">
        <f>IF(X18=0,"",FV($I$59,12,,-X18))</f>
        <v>152.18901534750543</v>
      </c>
      <c r="Y59" s="69">
        <f>IF(Y18=0,"",FV($I$59,13,,-Y18))</f>
        <v>159.1136155458169</v>
      </c>
      <c r="Z59" s="69">
        <f>IF(Z18=0,"",FV($I$59,14,,-Z18))</f>
        <v>164.934845382859</v>
      </c>
      <c r="AA59" s="69">
        <f>IF(AA18=0,"",FV($I$59,15,,-AA18))</f>
        <v>367.4220563624873</v>
      </c>
      <c r="AB59" s="69">
        <f>IF(AB18=0,"",FV($I$59,16,,-AB18))</f>
        <v>328.0957835166563</v>
      </c>
      <c r="AC59" s="69">
        <f>IF(AC18=0,"",FV($I$59,17,,-AC18))</f>
        <v>341.65890628295153</v>
      </c>
      <c r="AD59" s="69">
        <f>IF(AD18=0,"",FV($I$59,18,,-AD18))</f>
        <v>557.0160365547464</v>
      </c>
      <c r="AE59" s="69">
        <f>IF(AE18=0,"",FV($I$59,19,,-AE18))</f>
        <v>259.31238870994804</v>
      </c>
      <c r="AF59" s="69">
        <f>IF(AF18=0,"",FV($I$59,20,,-AF18))</f>
        <v>268.95647867208214</v>
      </c>
      <c r="AG59" s="69">
        <f>IF(AG18=0,"",FV($I$59,21,,-AG18))</f>
        <v>280.39827362111544</v>
      </c>
      <c r="AH59" s="69">
        <f aca="true" t="shared" si="26" ref="AH59:AM59">IF(AH18=0,"",FV($I$59,22,,-AH18))</f>
      </c>
      <c r="AI59" s="69">
        <f t="shared" si="26"/>
      </c>
      <c r="AJ59" s="69">
        <f t="shared" si="26"/>
      </c>
      <c r="AK59" s="69">
        <f t="shared" si="26"/>
      </c>
      <c r="AL59" s="69">
        <f t="shared" si="26"/>
      </c>
      <c r="AM59" s="69">
        <f t="shared" si="26"/>
      </c>
    </row>
    <row r="60" spans="7:39" ht="25.5" customHeight="1">
      <c r="G60" s="70"/>
      <c r="H60" s="57" t="s">
        <v>68</v>
      </c>
      <c r="I60" s="100"/>
      <c r="J60" s="71">
        <f>IF($C$27="","",$C$27)</f>
        <v>33</v>
      </c>
      <c r="K60" s="71"/>
      <c r="L60" s="69">
        <f>J60</f>
        <v>33</v>
      </c>
      <c r="M60" s="69">
        <f t="shared" si="25"/>
        <v>33</v>
      </c>
      <c r="N60" s="69">
        <f t="shared" si="25"/>
        <v>33</v>
      </c>
      <c r="O60" s="69">
        <f t="shared" si="25"/>
        <v>33</v>
      </c>
      <c r="P60" s="69">
        <f t="shared" si="25"/>
        <v>33</v>
      </c>
      <c r="Q60" s="69">
        <f t="shared" si="25"/>
        <v>33</v>
      </c>
      <c r="R60" s="69">
        <f t="shared" si="25"/>
        <v>33</v>
      </c>
      <c r="S60" s="69">
        <f t="shared" si="25"/>
        <v>33</v>
      </c>
      <c r="T60" s="69">
        <f t="shared" si="25"/>
        <v>33</v>
      </c>
      <c r="U60" s="69">
        <f t="shared" si="25"/>
        <v>33</v>
      </c>
      <c r="V60" s="69">
        <f t="shared" si="25"/>
        <v>33</v>
      </c>
      <c r="W60" s="72">
        <f>IF($C$28="","",$C$28)</f>
        <v>35</v>
      </c>
      <c r="X60" s="69">
        <f t="shared" si="25"/>
        <v>35</v>
      </c>
      <c r="Y60" s="72">
        <f>IF($C$29="","",$C$29)</f>
        <v>50</v>
      </c>
      <c r="Z60" s="69">
        <f t="shared" si="25"/>
        <v>50</v>
      </c>
      <c r="AA60" s="69">
        <f t="shared" si="25"/>
        <v>50</v>
      </c>
      <c r="AB60" s="69">
        <f t="shared" si="25"/>
        <v>50</v>
      </c>
      <c r="AC60" s="69">
        <f t="shared" si="25"/>
        <v>50</v>
      </c>
      <c r="AD60" s="69">
        <f t="shared" si="25"/>
        <v>50</v>
      </c>
      <c r="AE60" s="69">
        <f t="shared" si="25"/>
        <v>50</v>
      </c>
      <c r="AF60" s="69">
        <f t="shared" si="25"/>
        <v>50</v>
      </c>
      <c r="AG60" s="72">
        <f>IF($C$30="","",$C$30)</f>
        <v>53</v>
      </c>
      <c r="AH60" s="72">
        <f>IF($C$31="","",$C$31)</f>
        <v>53</v>
      </c>
      <c r="AI60" s="69">
        <f>AH60</f>
        <v>53</v>
      </c>
      <c r="AJ60" s="69">
        <f>AI60</f>
        <v>53</v>
      </c>
      <c r="AK60" s="69">
        <f>AJ60</f>
        <v>53</v>
      </c>
      <c r="AL60" s="69">
        <f>AK60</f>
        <v>53</v>
      </c>
      <c r="AM60" s="69">
        <f>AL60</f>
        <v>53</v>
      </c>
    </row>
    <row r="61" spans="7:39" ht="25.5" customHeight="1">
      <c r="G61" s="70"/>
      <c r="H61" s="61" t="s">
        <v>69</v>
      </c>
      <c r="I61" s="101">
        <f>IF($F$23="","",$F$23)</f>
        <v>0.02</v>
      </c>
      <c r="J61" s="73"/>
      <c r="K61" s="73"/>
      <c r="L61" s="74">
        <f>IF(L19=0,"",L19)</f>
      </c>
      <c r="M61" s="75">
        <f>IF(M19=0,"",FV($I$61,1,,-M19))</f>
      </c>
      <c r="N61" s="75">
        <f>IF(N19=0,"",FV($CO$61,,-N19))</f>
      </c>
      <c r="O61" s="75">
        <f>IF(O19=0,"",FV($I$61,3,,-O19))</f>
      </c>
      <c r="P61" s="75">
        <f>IF(P19=0,"",FV($I$61,4,,-P19))</f>
      </c>
      <c r="Q61" s="75">
        <f>IF(Q19=0,"",FV($I$61,5,,-Q19))</f>
      </c>
      <c r="R61" s="75">
        <f>IF(R19=0,"",FV($I$61,61,,-R19))</f>
      </c>
      <c r="S61" s="75">
        <f>IF(S19=0,"",FV($I$61,7,,-S19))</f>
      </c>
      <c r="T61" s="75">
        <f>IF(T19=0,"",FV($I$61,8,,-T19))</f>
      </c>
      <c r="U61" s="75">
        <f>IF(U19=0,"",FV($I$61,9,,-U19))</f>
      </c>
      <c r="V61" s="75">
        <f>IF(V19=0,"",FV($I$61,10,,-V19))</f>
      </c>
      <c r="W61" s="75">
        <f>IF(W19=0,"",FV($I$61,11,,-W19))</f>
      </c>
      <c r="X61" s="75">
        <f>IF(X19=0,"",FV($I$61,12,,-X19))</f>
      </c>
      <c r="Y61" s="75">
        <f>IF(Y19=0,"",FV($I$61,13,,-Y19))</f>
      </c>
      <c r="Z61" s="75">
        <f>IF(Z19=0,"",FV($I$61,14,,-Z19))</f>
      </c>
      <c r="AA61" s="75">
        <f>IF(AA19=0,"",FV($I$61,15,,-AA19))</f>
      </c>
      <c r="AB61" s="75">
        <f>IF(AB19=0,"",FV($I$61,16,,-AB19))</f>
      </c>
      <c r="AC61" s="75">
        <f>IF(AC19=0,"",FV($I$61,17,,-AC19))</f>
      </c>
      <c r="AD61" s="75">
        <f>IF(AD19=0,"",FV($I$61,18,,-AD19))</f>
      </c>
      <c r="AE61" s="75">
        <f>IF(AE19=0,"",FV($I$61,19,,-AE19))</f>
      </c>
      <c r="AF61" s="75">
        <f>IF(AF19=0,"",FV($I$61,20,,-AF19))</f>
      </c>
      <c r="AG61" s="75">
        <f>IF(AG19=0,"",FV($I$61,21,,-AG19))</f>
      </c>
      <c r="AH61" s="75">
        <f>IF(AH19=0,"",FV($I$61,22,,-AH19))</f>
      </c>
      <c r="AI61" s="75">
        <f>IF(AI19=0,"",FV($I$61,22,,-AI19))</f>
      </c>
      <c r="AJ61" s="75">
        <f>IF(AJ19=0,"",FV($I$61,22,,-AJ19))</f>
      </c>
      <c r="AK61" s="75">
        <f>IF(AK19=0,"",FV($I$61,22,,-AK19))</f>
      </c>
      <c r="AL61" s="75">
        <f>IF(AL19=0,"",FV($I$61,22,,-AL19))</f>
      </c>
      <c r="AM61" s="75">
        <f>AM19</f>
        <v>178</v>
      </c>
    </row>
    <row r="62" spans="7:39" ht="27.75" customHeight="1">
      <c r="G62" s="65"/>
      <c r="H62" s="66" t="s">
        <v>70</v>
      </c>
      <c r="I62" s="102"/>
      <c r="J62" s="67"/>
      <c r="K62" s="67"/>
      <c r="L62" s="76">
        <f aca="true" t="shared" si="27" ref="L62:AI62">SUM(L57:L61)</f>
        <v>506</v>
      </c>
      <c r="M62" s="76">
        <f t="shared" si="27"/>
        <v>537.48</v>
      </c>
      <c r="N62" s="76">
        <f t="shared" si="27"/>
        <v>546.15</v>
      </c>
      <c r="O62" s="76">
        <f t="shared" si="27"/>
        <v>589.442664</v>
      </c>
      <c r="P62" s="76">
        <f t="shared" si="27"/>
        <v>626.7971855999999</v>
      </c>
      <c r="Q62" s="76">
        <f t="shared" si="27"/>
        <v>636.7772101152</v>
      </c>
      <c r="R62" s="76">
        <f t="shared" si="27"/>
        <v>655.98821609088</v>
      </c>
      <c r="S62" s="76">
        <f t="shared" si="27"/>
        <v>666.5966660803468</v>
      </c>
      <c r="T62" s="76">
        <f t="shared" si="27"/>
        <v>686.6119181639583</v>
      </c>
      <c r="U62" s="76">
        <f t="shared" si="27"/>
        <v>714.4505450565721</v>
      </c>
      <c r="V62" s="76">
        <f t="shared" si="27"/>
        <v>727.3575447976931</v>
      </c>
      <c r="W62" s="76">
        <f t="shared" si="27"/>
        <v>742.5714443104362</v>
      </c>
      <c r="X62" s="76">
        <f t="shared" si="27"/>
        <v>789.0736434443962</v>
      </c>
      <c r="Y62" s="76">
        <f t="shared" si="27"/>
        <v>819.8759362046455</v>
      </c>
      <c r="Z62" s="76">
        <f t="shared" si="27"/>
        <v>834.7524124548643</v>
      </c>
      <c r="AA62" s="76">
        <f t="shared" si="27"/>
        <v>1046.4759747759326</v>
      </c>
      <c r="AB62" s="76">
        <f t="shared" si="27"/>
        <v>1016.5707802983706</v>
      </c>
      <c r="AC62" s="76">
        <f t="shared" si="27"/>
        <v>1039.7434030003</v>
      </c>
      <c r="AD62" s="76">
        <f t="shared" si="27"/>
        <v>1264.902223206442</v>
      </c>
      <c r="AE62" s="76">
        <f t="shared" si="27"/>
        <v>875.2195170177315</v>
      </c>
      <c r="AF62" s="76">
        <f t="shared" si="27"/>
        <v>893.0217495460213</v>
      </c>
      <c r="AG62" s="76">
        <f t="shared" si="27"/>
        <v>915.7848499125336</v>
      </c>
      <c r="AH62" s="76">
        <f t="shared" si="27"/>
        <v>557.2994462537972</v>
      </c>
      <c r="AI62" s="76">
        <f t="shared" si="27"/>
        <v>564.2254351788731</v>
      </c>
      <c r="AJ62" s="76">
        <f>SUM(AJ57:AJ61)</f>
        <v>571.2899438824506</v>
      </c>
      <c r="AK62" s="76">
        <f>SUM(AK57:AK61)</f>
        <v>578.4957427600996</v>
      </c>
      <c r="AL62" s="76">
        <f>SUM(AL57:AL61)</f>
        <v>585.8456576153015</v>
      </c>
      <c r="AM62" s="76">
        <f>SUM(AM57:AM61)</f>
        <v>771.3425707676076</v>
      </c>
    </row>
    <row r="63" spans="7:39" ht="27.75" customHeight="1">
      <c r="G63" s="65"/>
      <c r="H63" s="66" t="s">
        <v>71</v>
      </c>
      <c r="I63" s="102"/>
      <c r="J63" s="67"/>
      <c r="K63" s="67"/>
      <c r="L63" s="68">
        <f aca="true" t="shared" si="28" ref="L63:AI63">L56-L62</f>
        <v>38</v>
      </c>
      <c r="M63" s="68">
        <f t="shared" si="28"/>
        <v>14.67999999999995</v>
      </c>
      <c r="N63" s="68">
        <f t="shared" si="28"/>
        <v>14.292400000000043</v>
      </c>
      <c r="O63" s="68">
        <f t="shared" si="28"/>
        <v>-20.593627999999967</v>
      </c>
      <c r="P63" s="68">
        <f t="shared" si="28"/>
        <v>-49.415414059999875</v>
      </c>
      <c r="Q63" s="68">
        <f t="shared" si="28"/>
        <v>-50.73471200209997</v>
      </c>
      <c r="R63" s="68">
        <f t="shared" si="28"/>
        <v>-61.155080506083436</v>
      </c>
      <c r="S63" s="68">
        <f t="shared" si="28"/>
        <v>-62.84103346177835</v>
      </c>
      <c r="T63" s="68">
        <f t="shared" si="28"/>
        <v>-73.79995105611124</v>
      </c>
      <c r="U63" s="68">
        <f t="shared" si="28"/>
        <v>-92.44639844210735</v>
      </c>
      <c r="V63" s="68">
        <f t="shared" si="28"/>
        <v>-96.0233359840114</v>
      </c>
      <c r="W63" s="68">
        <f t="shared" si="28"/>
        <v>-101.7672223645493</v>
      </c>
      <c r="X63" s="68">
        <f t="shared" si="28"/>
        <v>-138.65735816932101</v>
      </c>
      <c r="Y63" s="68">
        <f t="shared" si="28"/>
        <v>-159.7034066504442</v>
      </c>
      <c r="Z63" s="68">
        <f t="shared" si="28"/>
        <v>-164.6772949573499</v>
      </c>
      <c r="AA63" s="68">
        <f t="shared" si="28"/>
        <v>-366.34973051595557</v>
      </c>
      <c r="AB63" s="68">
        <f t="shared" si="28"/>
        <v>-326.2426423744938</v>
      </c>
      <c r="AC63" s="68">
        <f t="shared" si="28"/>
        <v>-339.06034300756517</v>
      </c>
      <c r="AD63" s="68">
        <f t="shared" si="28"/>
        <v>-553.708917313816</v>
      </c>
      <c r="AE63" s="68">
        <f t="shared" si="28"/>
        <v>-153.3583115367162</v>
      </c>
      <c r="AF63" s="68">
        <f t="shared" si="28"/>
        <v>-160.33262598279077</v>
      </c>
      <c r="AG63" s="68">
        <f t="shared" si="28"/>
        <v>-172.10538949585464</v>
      </c>
      <c r="AH63" s="68">
        <f t="shared" si="28"/>
        <v>197.53520606913185</v>
      </c>
      <c r="AI63" s="68">
        <f t="shared" si="28"/>
        <v>190.60921714405595</v>
      </c>
      <c r="AJ63" s="68">
        <f>AJ56-AJ62</f>
        <v>183.54470844047842</v>
      </c>
      <c r="AK63" s="68">
        <f>AK56-AK62</f>
        <v>176.33890956282949</v>
      </c>
      <c r="AL63" s="68">
        <f>AL56-AL62</f>
        <v>168.9889947076275</v>
      </c>
      <c r="AM63" s="68">
        <f>AM56-AM62</f>
        <v>-16.50791844467858</v>
      </c>
    </row>
    <row r="64" spans="7:39" ht="27.75" customHeight="1">
      <c r="G64" s="65"/>
      <c r="H64" s="66" t="s">
        <v>72</v>
      </c>
      <c r="I64" s="103">
        <f>IF($F$24="","",$F$24)</f>
        <v>0.01</v>
      </c>
      <c r="J64" s="77">
        <f>IF($C$34="","",$C$34)</f>
        <v>200</v>
      </c>
      <c r="K64" s="77"/>
      <c r="L64" s="78">
        <f>J64</f>
        <v>200</v>
      </c>
      <c r="M64" s="78">
        <f>IF(L64="","",L64*$I$64+L64+M63)</f>
        <v>216.67999999999995</v>
      </c>
      <c r="N64" s="78">
        <f aca="true" t="shared" si="29" ref="N64:AI64">IF(M64="","",M64*$I$64+M64+N63)</f>
        <v>233.1392</v>
      </c>
      <c r="O64" s="78">
        <f t="shared" si="29"/>
        <v>214.87696400000002</v>
      </c>
      <c r="P64" s="78">
        <f t="shared" si="29"/>
        <v>167.61031958000015</v>
      </c>
      <c r="Q64" s="78">
        <f t="shared" si="29"/>
        <v>118.5517107737002</v>
      </c>
      <c r="R64" s="78">
        <f t="shared" si="29"/>
        <v>58.582147375353756</v>
      </c>
      <c r="S64" s="78">
        <f t="shared" si="29"/>
        <v>-3.6730646126710553</v>
      </c>
      <c r="T64" s="78">
        <f t="shared" si="29"/>
        <v>-77.50974631490901</v>
      </c>
      <c r="U64" s="78">
        <f t="shared" si="29"/>
        <v>-170.73124222016546</v>
      </c>
      <c r="V64" s="78">
        <f t="shared" si="29"/>
        <v>-268.4618906263785</v>
      </c>
      <c r="W64" s="78">
        <f t="shared" si="29"/>
        <v>-372.91373189719155</v>
      </c>
      <c r="X64" s="78">
        <f t="shared" si="29"/>
        <v>-515.3002273854845</v>
      </c>
      <c r="Y64" s="78">
        <f t="shared" si="29"/>
        <v>-680.1566363097836</v>
      </c>
      <c r="Z64" s="78">
        <f t="shared" si="29"/>
        <v>-851.6354976302314</v>
      </c>
      <c r="AA64" s="78">
        <f t="shared" si="29"/>
        <v>-1226.5015831224891</v>
      </c>
      <c r="AB64" s="78">
        <f t="shared" si="29"/>
        <v>-1565.0092413282077</v>
      </c>
      <c r="AC64" s="78">
        <f t="shared" si="29"/>
        <v>-1919.719676749055</v>
      </c>
      <c r="AD64" s="78">
        <f t="shared" si="29"/>
        <v>-2492.6257908303614</v>
      </c>
      <c r="AE64" s="78">
        <f t="shared" si="29"/>
        <v>-2670.910360275381</v>
      </c>
      <c r="AF64" s="78">
        <f t="shared" si="29"/>
        <v>-2857.9520898609258</v>
      </c>
      <c r="AG64" s="78">
        <f t="shared" si="29"/>
        <v>-3058.6370002553895</v>
      </c>
      <c r="AH64" s="78">
        <f t="shared" si="29"/>
        <v>-2891.6881641888112</v>
      </c>
      <c r="AI64" s="78">
        <f t="shared" si="29"/>
        <v>-2729.9958286866436</v>
      </c>
      <c r="AJ64" s="78">
        <f>IF(AI64="","",AI64*$I$64+AI64+AJ63)</f>
        <v>-2573.7510785330314</v>
      </c>
      <c r="AK64" s="78">
        <f>IF(AJ64="","",AJ64*$I$64+AJ64+AK63)</f>
        <v>-2423.1496797555324</v>
      </c>
      <c r="AL64" s="78">
        <f>IF(AK64="","",AK64*$I$64+AK64+AL63)</f>
        <v>-2278.39218184546</v>
      </c>
      <c r="AM64" s="78">
        <f>IF(AL64="","",AL64*$I$64+AL64+AM63)</f>
        <v>-2317.684022108593</v>
      </c>
    </row>
    <row r="65" spans="7:39" ht="25.5" customHeight="1">
      <c r="G65" s="79" t="s">
        <v>73</v>
      </c>
      <c r="H65" s="55"/>
      <c r="I65" s="104">
        <f>I64</f>
        <v>0.01</v>
      </c>
      <c r="J65" s="80">
        <f>J64</f>
        <v>200</v>
      </c>
      <c r="K65" s="80"/>
      <c r="L65" s="76">
        <f>L64</f>
        <v>200</v>
      </c>
      <c r="M65" s="76">
        <f>IF(M64="","",PV($I$65,1,,-M64))</f>
        <v>214.53465346534648</v>
      </c>
      <c r="N65" s="76">
        <f>IF(N64="","",PV($I$65,2,,-N64))</f>
        <v>228.54543672188998</v>
      </c>
      <c r="O65" s="76">
        <f>IF(O64="","",PV($I$65,3,,-O64))</f>
        <v>208.55746427500316</v>
      </c>
      <c r="P65" s="76">
        <f>IF(P64="","",PV($I$65,4,,-P64))</f>
        <v>161.07022264886348</v>
      </c>
      <c r="Q65" s="76">
        <f>IF(Q64="","",PV($I$65,5,,-Q64))</f>
        <v>112.79788500825507</v>
      </c>
      <c r="R65" s="76">
        <f>IF(R64="","",PV($I$65,6,,-R64))</f>
        <v>55.187032805911734</v>
      </c>
      <c r="S65" s="76">
        <f>IF(S64="","",PV($I$65,7,,-S64))</f>
        <v>-3.425933680344165</v>
      </c>
      <c r="T65" s="76">
        <f>IF(T64="","",PV($I$65,8,,-T64))</f>
        <v>-71.57895030067868</v>
      </c>
      <c r="U65" s="76">
        <f>IF(U64="","",PV($I$65,9,,-U64))</f>
        <v>-156.1063740038481</v>
      </c>
      <c r="V65" s="76">
        <f>IF(V64="","",PV($I$65,10,,-V64))</f>
        <v>-243.03504741627486</v>
      </c>
      <c r="W65" s="76">
        <f>IF(W64="","",PV($I$65,11,,-W64))</f>
        <v>-334.2514224875289</v>
      </c>
      <c r="X65" s="76">
        <f>IF(X64="","",PV($I$65,12,,-X64))</f>
        <v>-457.3027875722057</v>
      </c>
      <c r="Y65" s="76">
        <f>IF(Y64="","",PV($I$65,13,,-Y64))</f>
        <v>-597.6281979723468</v>
      </c>
      <c r="Z65" s="76">
        <f>IF(Z64="","",PV($I$65,14,,-Z64))</f>
        <v>-740.8913465152949</v>
      </c>
      <c r="AA65" s="76">
        <f>IF(AA64="","",PV($I$65,15,,-AA64))</f>
        <v>-1056.4464944987315</v>
      </c>
      <c r="AB65" s="76">
        <f>IF(AB64="","",PV($I$65,16,,-AB64))</f>
        <v>-1334.6731565540706</v>
      </c>
      <c r="AC65" s="76">
        <f>IF(AC64="","",PV($I$65,17,,-AC64))</f>
        <v>-1620.9680770370587</v>
      </c>
      <c r="AD65" s="76">
        <f>IF(AD64="","",PV($I$65,18,,-AD64))</f>
        <v>-2083.878318933403</v>
      </c>
      <c r="AE65" s="76">
        <f>IF(AE64="","",PV($I$65,19,,-AE64))</f>
        <v>-2210.819114695585</v>
      </c>
      <c r="AF65" s="76">
        <f>IF(AF64="","",PV($I$65,20,,-AF64))</f>
        <v>-2342.218831734439</v>
      </c>
      <c r="AG65" s="76">
        <f>IF(AG64="","",PV($I$65,21,,-AG64))</f>
        <v>-2481.8703369587697</v>
      </c>
      <c r="AH65" s="76">
        <f>IF(AH64="","",PV($I$65,22,,-AH64))</f>
        <v>-2323.1713017358543</v>
      </c>
      <c r="AI65" s="76">
        <f>IF(AI64="","",PV($I$65,23,,-AI64))</f>
        <v>-2171.5527651084694</v>
      </c>
      <c r="AJ65" s="76">
        <f>IF(AJ64="","",PV($I$65,24,,-AJ64))</f>
        <v>-2026.9991698728852</v>
      </c>
      <c r="AK65" s="76">
        <f>IF(AK64="","",PV($I$65,25,,-AK64))</f>
        <v>-1889.4956529238561</v>
      </c>
      <c r="AL65" s="76">
        <f>IF(AL64="","",PV($I$65,26,,-AL64))</f>
        <v>-1759.0280437295478</v>
      </c>
      <c r="AM65" s="76">
        <f>IF(AM64="","",PV($I$65,27,,-AM64))</f>
        <v>-1771.6467613676969</v>
      </c>
    </row>
    <row r="67" spans="8:39" ht="13.5">
      <c r="H67" s="96" t="s">
        <v>84</v>
      </c>
      <c r="I67" s="96"/>
      <c r="J67" s="96"/>
      <c r="K67" s="96"/>
      <c r="L67" s="96">
        <v>30</v>
      </c>
      <c r="M67" s="96">
        <v>30</v>
      </c>
      <c r="N67" s="96">
        <v>30</v>
      </c>
      <c r="O67" s="96">
        <v>30</v>
      </c>
      <c r="P67" s="96">
        <v>30</v>
      </c>
      <c r="Q67" s="96">
        <v>30</v>
      </c>
      <c r="R67" s="96">
        <v>30</v>
      </c>
      <c r="S67" s="96">
        <v>30</v>
      </c>
      <c r="T67" s="96">
        <v>30</v>
      </c>
      <c r="U67" s="96">
        <v>30</v>
      </c>
      <c r="V67" s="96">
        <v>30</v>
      </c>
      <c r="W67" s="96">
        <v>30</v>
      </c>
      <c r="X67" s="96">
        <v>30</v>
      </c>
      <c r="Y67" s="96">
        <v>45</v>
      </c>
      <c r="Z67" s="96">
        <v>45</v>
      </c>
      <c r="AA67" s="96">
        <v>45</v>
      </c>
      <c r="AB67" s="96">
        <v>45</v>
      </c>
      <c r="AC67" s="96">
        <v>45</v>
      </c>
      <c r="AD67" s="96">
        <v>45</v>
      </c>
      <c r="AE67" s="96">
        <v>45</v>
      </c>
      <c r="AF67" s="96">
        <v>45</v>
      </c>
      <c r="AG67" s="96">
        <v>45</v>
      </c>
      <c r="AH67" s="96">
        <v>45</v>
      </c>
      <c r="AI67" s="96">
        <v>45</v>
      </c>
      <c r="AJ67" s="96">
        <v>45</v>
      </c>
      <c r="AK67" s="96">
        <v>45</v>
      </c>
      <c r="AL67" s="96">
        <v>45</v>
      </c>
      <c r="AM67" s="96">
        <v>45</v>
      </c>
    </row>
    <row r="68" spans="8:39" ht="13.5">
      <c r="H68" s="96" t="s">
        <v>85</v>
      </c>
      <c r="I68" s="96"/>
      <c r="J68" s="96"/>
      <c r="K68" s="96"/>
      <c r="L68" s="96">
        <v>3</v>
      </c>
      <c r="M68" s="96">
        <v>3</v>
      </c>
      <c r="N68" s="96">
        <v>3</v>
      </c>
      <c r="O68" s="96">
        <v>3</v>
      </c>
      <c r="P68" s="96">
        <v>3</v>
      </c>
      <c r="Q68" s="96">
        <v>3</v>
      </c>
      <c r="R68" s="96">
        <v>3</v>
      </c>
      <c r="S68" s="96">
        <v>3</v>
      </c>
      <c r="T68" s="96">
        <v>3</v>
      </c>
      <c r="U68" s="96">
        <v>3</v>
      </c>
      <c r="V68" s="96">
        <v>3</v>
      </c>
      <c r="W68" s="96">
        <v>5</v>
      </c>
      <c r="X68" s="96">
        <v>5</v>
      </c>
      <c r="Y68" s="96">
        <v>5</v>
      </c>
      <c r="Z68" s="96">
        <v>5</v>
      </c>
      <c r="AA68" s="96">
        <v>5</v>
      </c>
      <c r="AB68" s="96">
        <v>5</v>
      </c>
      <c r="AC68" s="96">
        <v>5</v>
      </c>
      <c r="AD68" s="96">
        <v>5</v>
      </c>
      <c r="AE68" s="96">
        <v>5</v>
      </c>
      <c r="AF68" s="96">
        <v>5</v>
      </c>
      <c r="AG68" s="96">
        <v>8</v>
      </c>
      <c r="AH68" s="96">
        <v>8</v>
      </c>
      <c r="AI68" s="96">
        <v>8</v>
      </c>
      <c r="AJ68" s="96">
        <v>8</v>
      </c>
      <c r="AK68" s="96">
        <v>8</v>
      </c>
      <c r="AL68" s="96">
        <v>8</v>
      </c>
      <c r="AM68" s="96">
        <v>8</v>
      </c>
    </row>
  </sheetData>
  <mergeCells count="5">
    <mergeCell ref="H19:I19"/>
    <mergeCell ref="H15:I15"/>
    <mergeCell ref="H16:I16"/>
    <mergeCell ref="H17:I17"/>
    <mergeCell ref="H18:I18"/>
  </mergeCells>
  <printOptions/>
  <pageMargins left="0.56" right="0.54" top="1" bottom="1" header="0.512" footer="0.51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NEC-PCuser</cp:lastModifiedBy>
  <cp:lastPrinted>1999-04-15T09:24:00Z</cp:lastPrinted>
  <dcterms:created xsi:type="dcterms:W3CDTF">1999-01-08T08:48:12Z</dcterms:created>
  <cp:category/>
  <cp:version/>
  <cp:contentType/>
  <cp:contentStatus/>
</cp:coreProperties>
</file>